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225d9558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قتصاد واحد" sheetId="1" r:id="R8a4b15c3fce1455a"/>
    <x:sheet xmlns:r="http://schemas.openxmlformats.org/officeDocument/2006/relationships" name="فرض‌ها و منابع" sheetId="2" r:id="R89b9b63683124c6e"/>
    <x:sheet xmlns:r="http://schemas.openxmlformats.org/officeDocument/2006/relationships" name="محصول و کانال" sheetId="3" r:id="R252a8ad05c4d43cd"/>
    <x:sheet xmlns:r="http://schemas.openxmlformats.org/officeDocument/2006/relationships" name="تقویم نقد" sheetId="4" r:id="Ra00f40004b02488a"/>
    <x:sheet xmlns:r="http://schemas.openxmlformats.org/officeDocument/2006/relationships" name="سناریو و حساسیت" sheetId="5" r:id="R4a3f4da70fa14a14"/>
    <x:sheet xmlns:r="http://schemas.openxmlformats.org/officeDocument/2006/relationships" name="فرهنگ شاخص و رویداد" sheetId="6" r:id="Rf5199c2169144ef0"/>
    <x:sheet xmlns:r="http://schemas.openxmlformats.org/officeDocument/2006/relationships" name="قیف و آزمایش‌ها" sheetId="7" r:id="Rb4238453d3bc4f88"/>
    <x:sheet xmlns:r="http://schemas.openxmlformats.org/officeDocument/2006/relationships" name="کوهورت و تکرار" sheetId="8" r:id="R11c76c1e9f1941a8"/>
    <x:sheet xmlns:r="http://schemas.openxmlformats.org/officeDocument/2006/relationships" name="مرجوعی و بازخورد" sheetId="9" r:id="R21fb29999b76474b"/>
    <x:sheet xmlns:r="http://schemas.openxmlformats.org/officeDocument/2006/relationships" name="دفتر تصمیم" sheetId="10" r:id="R775b06c8ce79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200" formatCode="yyyy-mm-dd"/>
    <x:numFmt numFmtId="201" formatCode="#,##0;[Red](#,##0);-"/>
    <x:numFmt numFmtId="202" formatCode="0.0%;[Red](0.0%);-"/>
    <x:numFmt numFmtId="203" formatCode="0.0"/>
    <x:numFmt numFmtId="204" formatCode="0"/>
    <x:numFmt numFmtId="205" formatCode="0.0%"/>
    <x:numFmt numFmtId="206" formatCode="0.00x"/>
    <x:numFmt numFmtId="207" formatCode="0.0&quot; هفته&quot;"/>
    <x:numFmt numFmtId="208" formatCode="mmm-yy"/>
    <x:numFmt numFmtId="209" formatCode="dd-mmm"/>
    <x:numFmt numFmtId="210" formatCode="@"/>
    <x:numFmt numFmtId="211" formatCode="0&quot; روز&quot;"/>
    <x:numFmt numFmtId="212" formatCode="0.00;[Red](0.00);-"/>
    <x:numFmt numFmtId="213" formatCode="0.00"/>
  </x:numFmts>
  <x:fonts count="17">
    <x:font>
      <x:sz val="11"/>
      <x:name val="Carlito"/>
    </x:font>
    <x:font>
      <x:sz val="10"/>
      <x:color rgb="FF203238"/>
      <x:name val="Vazir"/>
    </x:font>
    <x:font>
      <x:b/>
      <x:sz val="16"/>
      <x:color rgb="FFFFFFFF"/>
      <x:name val="Vazir"/>
    </x:font>
    <x:font>
      <x:i/>
      <x:sz val="9"/>
      <x:color rgb="FFA66A00"/>
      <x:name val="Vazir"/>
    </x:font>
    <x:font>
      <x:b/>
      <x:sz val="10"/>
      <x:color rgb="FF00384D"/>
      <x:name val="Vazir"/>
    </x:font>
    <x:font>
      <x:sz val="10"/>
      <x:color rgb="FF1F4E79"/>
      <x:name val="Vazir"/>
    </x:font>
    <x:font>
      <x:b/>
      <x:sz val="10"/>
      <x:color rgb="FF16794D"/>
      <x:name val="Vazir"/>
    </x:font>
    <x:font>
      <x:b/>
      <x:sz val="11"/>
      <x:color rgb="FF00384D"/>
      <x:name val="Vazir"/>
    </x:font>
    <x:font>
      <x:b/>
      <x:sz val="10"/>
      <x:color rgb="FFFFFFFF"/>
      <x:name val="Vazir"/>
    </x:font>
    <x:font>
      <x:sz val="10"/>
      <x:color rgb="FF16794D"/>
      <x:name val="Vazir"/>
    </x:font>
    <x:font>
      <x:i/>
      <x:sz val="9"/>
      <x:color rgb="FFC62828"/>
      <x:name val="Vazir"/>
    </x:font>
    <x:font>
      <x:i/>
      <x:sz val="9"/>
      <x:color rgb="FF00384D"/>
      <x:name val="Vazir"/>
    </x:font>
    <x:font>
      <x:i/>
      <x:sz val="9"/>
      <x:color rgb="FF60747D"/>
      <x:name val="Vazir"/>
    </x:font>
    <x:font>
      <x:b/>
      <x:sz val="9"/>
      <x:color rgb="FFFFFFFF"/>
      <x:name val="Vazir"/>
    </x:font>
    <x:font>
      <x:b/>
      <x:sz val="14"/>
      <x:color rgb="FF00384D"/>
      <x:name val="Vazir"/>
    </x:font>
    <x:font>
      <x:sz val="9"/>
      <x:color rgb="FF203238"/>
      <x:name val="Vazir"/>
    </x:font>
    <x:font>
      <x:i/>
      <x:sz val="8"/>
      <x:color rgb="FF60747D"/>
      <x:name val="Vazir"/>
    </x:font>
  </x:fonts>
  <x:fills count="10">
    <x:fill>
      <x:patternFill patternType="none"/>
    </x:fill>
    <x:fill>
      <x:patternFill patternType="gray125"/>
    </x:fill>
    <x:fill>
      <x:patternFill patternType="solid">
        <x:fgColor rgb="FF00384D"/>
      </x:patternFill>
    </x:fill>
    <x:fill>
      <x:patternFill patternType="solid">
        <x:fgColor rgb="FFF8F1DF"/>
      </x:patternFill>
    </x:fill>
    <x:fill>
      <x:patternFill patternType="solid">
        <x:fgColor rgb="FFFFF7D6"/>
      </x:patternFill>
    </x:fill>
    <x:fill>
      <x:patternFill patternType="solid">
        <x:fgColor rgb="FFEAF3F6"/>
      </x:patternFill>
    </x:fill>
    <x:fill>
      <x:patternFill patternType="solid">
        <x:fgColor rgb="FF0B6075"/>
      </x:patternFill>
    </x:fill>
    <x:fill>
      <x:patternFill patternType="solid">
        <x:fgColor rgb="FFFDECEC"/>
      </x:patternFill>
    </x:fill>
    <x:fill>
      <x:patternFill patternType="solid">
        <x:fgColor rgb="FFF3F5F6"/>
      </x:patternFill>
    </x:fill>
    <x:fill>
      <x:patternFill patternType="solid">
        <x:fgColor rgb="FFFFFFFF"/>
      </x:patternFill>
    </x:fill>
  </x:fills>
  <x:borders count="19">
    <x:border/>
    <x:border>
      <x:left style="thin">
        <x:color rgb="FFCBD7DC"/>
      </x:left>
      <x:top style="thin">
        <x:color rgb="FFCBD7DC"/>
      </x:top>
      <x:bottom style="thin">
        <x:color rgb="FFCBD7DC"/>
      </x:bottom>
    </x:border>
    <x:border>
      <x:top style="thin">
        <x:color rgb="FFCBD7DC"/>
      </x:top>
      <x:bottom style="thin">
        <x:color rgb="FFCBD7DC"/>
      </x:bottom>
    </x:border>
    <x:border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CBD7DC"/>
      </x:left>
      <x:right style="thin">
        <x:color rgb="FFCBD7DC"/>
      </x:right>
      <x:top style="thin">
        <x:color rgb="FFCBD7DC"/>
      </x:top>
      <x:bottom style="thin">
        <x:color rgb="FFCBD7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C"/>
      </x:left>
      <x:top style="thin">
        <x:color rgb="FFCBD7DC"/>
      </x:top>
    </x:border>
    <x:border>
      <x:top style="thin">
        <x:color rgb="FFCBD7DC"/>
      </x:top>
    </x:border>
    <x:border>
      <x:right style="thin">
        <x:color rgb="FFCBD7DC"/>
      </x:right>
      <x:top style="thin">
        <x:color rgb="FFCBD7DC"/>
      </x:top>
    </x:border>
    <x:border>
      <x:left style="thin">
        <x:color rgb="FFCBD7DC"/>
      </x:left>
    </x:border>
    <x:border>
      <x:right style="thin">
        <x:color rgb="FFCBD7DC"/>
      </x:right>
    </x:border>
    <x:border>
      <x:left style="thin">
        <x:color rgb="FFCBD7DC"/>
      </x:left>
      <x:bottom style="thin">
        <x:color rgb="FFCBD7DC"/>
      </x:bottom>
    </x:border>
    <x:border>
      <x:bottom style="thin">
        <x:color rgb="FFCBD7DC"/>
      </x:bottom>
    </x:border>
    <x:border>
      <x:right style="thin">
        <x:color rgb="FFCBD7DC"/>
      </x:right>
      <x:bottom style="thin">
        <x:color rgb="FFCBD7DC"/>
      </x:bottom>
    </x:border>
    <x:border>
      <x:bottom style="double">
        <x:color rgb="FF00384D"/>
      </x:bottom>
    </x:border>
    <x:border>
      <x:bottom style="double">
        <x:color rgb="FFB6954B"/>
      </x:bottom>
    </x:border>
    <x:border>
      <x:left style="thin">
        <x:color rgb="FF0B6075"/>
      </x:left>
      <x:top style="thin">
        <x:color rgb="FF0B6075"/>
      </x:top>
      <x:bottom style="thin">
        <x:color rgb="FF0B6075"/>
      </x:bottom>
    </x:border>
    <x:border>
      <x:top style="thin">
        <x:color rgb="FF0B6075"/>
      </x:top>
      <x:bottom style="thin">
        <x:color rgb="FF0B6075"/>
      </x:bottom>
    </x:border>
    <x:border>
      <x:right style="thin">
        <x:color rgb="FF0B6075"/>
      </x:right>
      <x:top style="thin">
        <x:color rgb="FF0B6075"/>
      </x:top>
      <x:bottom style="thin">
        <x:color rgb="FF0B6075"/>
      </x:bottom>
    </x:border>
  </x:borders>
  <x:cellStyleXfs count="1">
    <x:xf numFmtId="0" fontId="0" fillId="0" borderId="0"/>
  </x:cellStyleXfs>
  <x:cellXfs count="2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 applyAlignment="1">
      <x:alignment horizontal="right" vertical="center"/>
    </x:xf>
    <x:xf numFmtId="0" fontId="3" fillId="3" borderId="2" xfId="0" applyNumberFormat="1" applyFont="1" applyFill="1" applyBorder="1" applyAlignment="1">
      <x:alignment horizontal="right" vertical="center"/>
    </x:xf>
    <x:xf numFmtId="0" fontId="3" fillId="3" borderId="3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 applyAlignment="1">
      <x:alignment horizontal="right" vertical="center" wrapText="1"/>
    </x:xf>
    <x:xf numFmtId="0" fontId="3" fillId="3" borderId="2" xfId="0" applyNumberFormat="1" applyFont="1" applyFill="1" applyBorder="1" applyAlignment="1">
      <x:alignment horizontal="right" vertical="center" wrapText="1"/>
    </x:xf>
    <x:xf numFmtId="0" fontId="3" fillId="3" borderId="3" xfId="0" applyNumberFormat="1" applyFont="1" applyFill="1" applyBorder="1" applyAlignment="1">
      <x:alignment horizontal="right" vertical="center" wrapText="1"/>
    </x:xf>
    <x:xf numFmtId="0" fontId="1" fillId="0" borderId="4" xfId="0" applyNumberFormat="1" applyFont="1" applyFill="1" applyBorder="1" applyAlignment="1">
      <x:alignment horizontal="right" vertical="center"/>
    </x:xf>
    <x:xf numFmtId="0" fontId="4" fillId="0" borderId="4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right" vertical="center"/>
    </x:xf>
    <x:xf numFmtId="0" fontId="5" fillId="4" borderId="4" xfId="0" applyNumberFormat="1" applyFont="1" applyFill="1" applyBorder="1" applyAlignment="1">
      <x:alignment horizontal="right" vertical="center"/>
    </x:xf>
    <x:xf numFmtId="0" fontId="6" fillId="0" borderId="4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horizontal="right" vertical="center"/>
    </x:xf>
    <x:xf numFmtId="0" fontId="7" fillId="5" borderId="1" xfId="0" applyNumberFormat="1" applyFont="1" applyFill="1" applyBorder="1" applyAlignment="1">
      <x:alignment horizontal="right" vertical="center"/>
    </x:xf>
    <x:xf numFmtId="0" fontId="7" fillId="5" borderId="2" xfId="0" applyNumberFormat="1" applyFont="1" applyFill="1" applyBorder="1" applyAlignment="1">
      <x:alignment horizontal="right" vertical="center"/>
    </x:xf>
    <x:xf numFmtId="0" fontId="7" fillId="5" borderId="3" xfId="0" applyNumberFormat="1" applyFont="1" applyFill="1" applyBorder="1" applyAlignment="1">
      <x:alignment horizontal="right" vertical="center"/>
    </x:xf>
    <x:xf numFmtId="200" fontId="5" fillId="4" borderId="4" xfId="0" applyNumberFormat="1" applyFont="1" applyFill="1" applyBorder="1" applyAlignment="1">
      <x:alignment horizontal="right" vertical="center"/>
    </x:xf>
    <x:xf numFmtId="201" fontId="5" fillId="4" borderId="4" xfId="0" applyNumberFormat="1" applyFont="1" applyFill="1" applyBorder="1" applyAlignment="1">
      <x:alignment horizontal="right" vertical="center"/>
    </x:xf>
    <x:xf numFmtId="202" fontId="5" fillId="4" borderId="4" xfId="0" applyNumberFormat="1" applyFont="1" applyFill="1" applyBorder="1" applyAlignment="1">
      <x:alignment horizontal="right" vertical="center"/>
    </x:xf>
    <x:xf numFmtId="203" fontId="5" fillId="4" borderId="4" xfId="0" applyNumberFormat="1" applyFont="1" applyFill="1" applyBorder="1" applyAlignment="1">
      <x:alignment horizontal="right" vertical="center"/>
    </x:xf>
    <x:xf numFmtId="204" fontId="5" fillId="4" borderId="4" xfId="0" applyNumberFormat="1" applyFont="1" applyFill="1" applyBorder="1" applyAlignment="1">
      <x:alignment horizontal="right" vertical="center"/>
    </x:xf>
    <x:xf numFmtId="0" fontId="1" fillId="6" borderId="4" xfId="0" applyNumberFormat="1" applyFont="1" applyFill="1" applyBorder="1" applyAlignment="1">
      <x:alignment horizontal="right" vertical="center"/>
    </x:xf>
    <x:xf numFmtId="0" fontId="8" fillId="6" borderId="4" xfId="0" applyNumberFormat="1" applyFont="1" applyFill="1" applyBorder="1" applyAlignment="1">
      <x:alignment horizontal="right" vertical="center"/>
    </x:xf>
    <x:xf numFmtId="0" fontId="8" fillId="6" borderId="4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8" fillId="6" borderId="0" xfId="0" applyNumberFormat="1" applyFont="1" applyFill="1" applyBorder="1" applyAlignment="1">
      <x:alignment horizontal="right" vertical="center"/>
    </x:xf>
    <x:xf numFmtId="0" fontId="8" fillId="6" borderId="5" xfId="0" applyNumberFormat="1" applyFont="1" applyFill="1" applyBorder="1" applyAlignment="1">
      <x:alignment horizontal="right" vertical="center"/>
    </x:xf>
    <x:xf numFmtId="0" fontId="8" fillId="6" borderId="5" xfId="0" applyNumberFormat="1" applyFont="1" applyFill="1" applyBorder="1" applyAlignment="1">
      <x:alignment horizontal="right" vertical="center" wrapText="1"/>
    </x:xf>
    <x:xf numFmtId="0" fontId="8" fillId="6" borderId="5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right" vertical="center"/>
    </x:xf>
    <x:xf numFmtId="0" fontId="9" fillId="0" borderId="4" xfId="0" applyNumberFormat="1" applyFont="1" applyFill="1" applyBorder="1" applyAlignment="1">
      <x:alignment horizontal="right" vertical="center"/>
    </x:xf>
    <x:xf numFmtId="205" fontId="9" fillId="0" borderId="4" xfId="0" applyNumberFormat="1" applyFont="1" applyFill="1" applyBorder="1" applyAlignment="1">
      <x:alignment horizontal="right" vertical="center"/>
    </x:xf>
    <x:xf numFmtId="205" fontId="5" fillId="4" borderId="4" xfId="0" applyNumberFormat="1" applyFont="1" applyFill="1" applyBorder="1" applyAlignment="1">
      <x:alignment horizontal="right" vertical="center"/>
    </x:xf>
    <x:xf numFmtId="206" fontId="9" fillId="0" borderId="4" xfId="0" applyNumberFormat="1" applyFont="1" applyFill="1" applyBorder="1" applyAlignment="1">
      <x:alignment horizontal="right" vertical="center"/>
    </x:xf>
    <x:xf numFmtId="206" fontId="5" fillId="4" borderId="4" xfId="0" applyNumberFormat="1" applyFont="1" applyFill="1" applyBorder="1" applyAlignment="1">
      <x:alignment horizontal="right" vertical="center"/>
    </x:xf>
    <x:xf numFmtId="202" fontId="9" fillId="0" borderId="4" xfId="0" applyNumberFormat="1" applyFont="1" applyFill="1" applyBorder="1" applyAlignment="1">
      <x:alignment horizontal="right" vertical="center"/>
    </x:xf>
    <x:xf numFmtId="204" fontId="9" fillId="0" borderId="4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10" fillId="7" borderId="0" xfId="0" applyNumberFormat="1" applyFont="1" applyFill="1" applyBorder="1" applyAlignment="1">
      <x:alignment horizontal="right" vertical="center"/>
    </x:xf>
    <x:xf numFmtId="0" fontId="10" fillId="7" borderId="6" xfId="0" applyNumberFormat="1" applyFont="1" applyFill="1" applyBorder="1" applyAlignment="1">
      <x:alignment horizontal="right" vertical="center"/>
    </x:xf>
    <x:xf numFmtId="0" fontId="10" fillId="7" borderId="7" xfId="0" applyNumberFormat="1" applyFont="1" applyFill="1" applyBorder="1" applyAlignment="1">
      <x:alignment horizontal="right" vertical="center"/>
    </x:xf>
    <x:xf numFmtId="0" fontId="10" fillId="7" borderId="8" xfId="0" applyNumberFormat="1" applyFont="1" applyFill="1" applyBorder="1" applyAlignment="1">
      <x:alignment horizontal="right" vertical="center"/>
    </x:xf>
    <x:xf numFmtId="0" fontId="10" fillId="7" borderId="9" xfId="0" applyNumberFormat="1" applyFont="1" applyFill="1" applyBorder="1" applyAlignment="1">
      <x:alignment horizontal="right" vertical="center"/>
    </x:xf>
    <x:xf numFmtId="0" fontId="10" fillId="7" borderId="10" xfId="0" applyNumberFormat="1" applyFont="1" applyFill="1" applyBorder="1" applyAlignment="1">
      <x:alignment horizontal="right" vertical="center"/>
    </x:xf>
    <x:xf numFmtId="0" fontId="10" fillId="7" borderId="11" xfId="0" applyNumberFormat="1" applyFont="1" applyFill="1" applyBorder="1" applyAlignment="1">
      <x:alignment horizontal="right" vertical="center"/>
    </x:xf>
    <x:xf numFmtId="0" fontId="10" fillId="7" borderId="12" xfId="0" applyNumberFormat="1" applyFont="1" applyFill="1" applyBorder="1" applyAlignment="1">
      <x:alignment horizontal="right" vertical="center"/>
    </x:xf>
    <x:xf numFmtId="0" fontId="10" fillId="7" borderId="13" xfId="0" applyNumberFormat="1" applyFont="1" applyFill="1" applyBorder="1" applyAlignment="1">
      <x:alignment horizontal="right" vertical="center"/>
    </x:xf>
    <x:xf numFmtId="0" fontId="10" fillId="7" borderId="6" xfId="0" applyNumberFormat="1" applyFont="1" applyFill="1" applyBorder="1" applyAlignment="1">
      <x:alignment horizontal="right" vertical="center" wrapText="1"/>
    </x:xf>
    <x:xf numFmtId="0" fontId="10" fillId="7" borderId="7" xfId="0" applyNumberFormat="1" applyFont="1" applyFill="1" applyBorder="1" applyAlignment="1">
      <x:alignment horizontal="right" vertical="center" wrapText="1"/>
    </x:xf>
    <x:xf numFmtId="0" fontId="10" fillId="7" borderId="8" xfId="0" applyNumberFormat="1" applyFont="1" applyFill="1" applyBorder="1" applyAlignment="1">
      <x:alignment horizontal="right" vertical="center" wrapText="1"/>
    </x:xf>
    <x:xf numFmtId="0" fontId="10" fillId="7" borderId="9" xfId="0" applyNumberFormat="1" applyFont="1" applyFill="1" applyBorder="1" applyAlignment="1">
      <x:alignment horizontal="right" vertical="center" wrapText="1"/>
    </x:xf>
    <x:xf numFmtId="0" fontId="10" fillId="7" borderId="0" xfId="0" applyNumberFormat="1" applyFont="1" applyFill="1" applyBorder="1" applyAlignment="1">
      <x:alignment horizontal="right" vertical="center" wrapText="1"/>
    </x:xf>
    <x:xf numFmtId="0" fontId="10" fillId="7" borderId="10" xfId="0" applyNumberFormat="1" applyFont="1" applyFill="1" applyBorder="1" applyAlignment="1">
      <x:alignment horizontal="right" vertical="center" wrapText="1"/>
    </x:xf>
    <x:xf numFmtId="0" fontId="10" fillId="7" borderId="11" xfId="0" applyNumberFormat="1" applyFont="1" applyFill="1" applyBorder="1" applyAlignment="1">
      <x:alignment horizontal="right" vertical="center" wrapText="1"/>
    </x:xf>
    <x:xf numFmtId="0" fontId="10" fillId="7" borderId="12" xfId="0" applyNumberFormat="1" applyFont="1" applyFill="1" applyBorder="1" applyAlignment="1">
      <x:alignment horizontal="right" vertical="center" wrapText="1"/>
    </x:xf>
    <x:xf numFmtId="0" fontId="10" fillId="7" borderId="13" xfId="0" applyNumberFormat="1" applyFont="1" applyFill="1" applyBorder="1" applyAlignment="1">
      <x:alignment horizontal="right" vertical="center" wrapText="1"/>
    </x:xf>
    <x:xf numFmtId="0" fontId="4" fillId="4" borderId="4" xfId="0" applyNumberFormat="1" applyFont="1" applyFill="1" applyBorder="1" applyAlignment="1">
      <x:alignment horizontal="right" vertical="center"/>
    </x:xf>
    <x:xf numFmtId="200" fontId="4" fillId="4" borderId="4" xfId="0" applyNumberFormat="1" applyFont="1" applyFill="1" applyBorder="1" applyAlignment="1">
      <x:alignment horizontal="right" vertical="center"/>
    </x:xf>
    <x:xf numFmtId="207" fontId="4" fillId="0" borderId="4" xfId="0" applyNumberFormat="1" applyFont="1" applyFill="1" applyBorder="1" applyAlignment="1">
      <x:alignment horizontal="right" vertical="center"/>
    </x:xf>
    <x:xf numFmtId="201" fontId="4" fillId="0" borderId="4" xfId="0" applyNumberFormat="1" applyFont="1" applyFill="1" applyBorder="1" applyAlignment="1">
      <x:alignment horizontal="right" vertical="center"/>
    </x:xf>
    <x:xf numFmtId="201" fontId="6" fillId="0" borderId="4" xfId="0" applyNumberFormat="1" applyFont="1" applyFill="1" applyBorder="1" applyAlignment="1">
      <x:alignment horizontal="right" vertical="center"/>
    </x:xf>
    <x:xf numFmtId="208" fontId="5" fillId="4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8" fontId="5" fillId="4" borderId="4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2" fontId="1" fillId="0" borderId="4" xfId="0" applyNumberFormat="1" applyFont="1" applyFill="1" applyBorder="1" applyAlignment="1">
      <x:alignment horizontal="right" vertical="center"/>
    </x:xf>
    <x:xf numFmtId="203" fontId="1" fillId="0" borderId="4" xfId="0" applyNumberFormat="1" applyFont="1" applyFill="1" applyBorder="1" applyAlignment="1">
      <x:alignment horizontal="right" vertical="center"/>
    </x:xf>
    <x:xf numFmtId="0" fontId="11" fillId="5" borderId="0" xfId="0" applyNumberFormat="1" applyFont="1" applyFill="1" applyBorder="1" applyAlignment="1">
      <x:alignment horizontal="right" vertical="center"/>
    </x:xf>
    <x:xf numFmtId="0" fontId="11" fillId="5" borderId="1" xfId="0" applyNumberFormat="1" applyFont="1" applyFill="1" applyBorder="1" applyAlignment="1">
      <x:alignment horizontal="right" vertical="center"/>
    </x:xf>
    <x:xf numFmtId="0" fontId="11" fillId="5" borderId="2" xfId="0" applyNumberFormat="1" applyFont="1" applyFill="1" applyBorder="1" applyAlignment="1">
      <x:alignment horizontal="right" vertical="center"/>
    </x:xf>
    <x:xf numFmtId="0" fontId="11" fillId="5" borderId="3" xfId="0" applyNumberFormat="1" applyFont="1" applyFill="1" applyBorder="1" applyAlignment="1">
      <x:alignment horizontal="right" vertical="center"/>
    </x:xf>
    <x:xf numFmtId="0" fontId="11" fillId="5" borderId="1" xfId="0" applyNumberFormat="1" applyFont="1" applyFill="1" applyBorder="1" applyAlignment="1">
      <x:alignment horizontal="right" vertical="center" wrapText="1"/>
    </x:xf>
    <x:xf numFmtId="0" fontId="11" fillId="5" borderId="2" xfId="0" applyNumberFormat="1" applyFont="1" applyFill="1" applyBorder="1" applyAlignment="1">
      <x:alignment horizontal="right" vertical="center" wrapText="1"/>
    </x:xf>
    <x:xf numFmtId="0" fontId="11" fillId="5" borderId="3" xfId="0" applyNumberFormat="1" applyFont="1" applyFill="1" applyBorder="1" applyAlignment="1">
      <x:alignment horizontal="right" vertical="center" wrapText="1"/>
    </x:xf>
    <x:xf numFmtId="0" fontId="1" fillId="8" borderId="0" xfId="0" applyNumberFormat="1" applyFont="1" applyFill="1" applyBorder="1" applyAlignment="1">
      <x:alignment horizontal="right" vertical="center"/>
    </x:xf>
    <x:xf numFmtId="0" fontId="4" fillId="8" borderId="0" xfId="0" applyNumberFormat="1" applyFont="1" applyFill="1" applyBorder="1" applyAlignment="1">
      <x:alignment horizontal="right" vertical="center"/>
    </x:xf>
    <x:xf numFmtId="0" fontId="4" fillId="8" borderId="4" xfId="0" applyNumberFormat="1" applyFont="1" applyFill="1" applyBorder="1" applyAlignment="1">
      <x:alignment horizontal="right" vertical="center"/>
    </x:xf>
    <x:xf numFmtId="0" fontId="4" fillId="8" borderId="4" xfId="0" applyNumberFormat="1" applyFont="1" applyFill="1" applyBorder="1" applyAlignment="1">
      <x:alignment horizontal="right" vertical="center" wrapText="1"/>
    </x:xf>
    <x:xf numFmtId="0" fontId="4" fillId="8" borderId="4" xfId="0" applyNumberFormat="1" applyFont="1" applyFill="1" applyBorder="1" applyAlignment="1">
      <x:alignment horizontal="center" vertical="center" wrapText="1"/>
    </x:xf>
    <x:xf numFmtId="201" fontId="4" fillId="8" borderId="4" xfId="0" applyNumberFormat="1" applyFont="1" applyFill="1" applyBorder="1" applyAlignment="1">
      <x:alignment horizontal="center" vertical="center" wrapText="1"/>
    </x:xf>
    <x:xf numFmtId="209" fontId="8" fillId="6" borderId="5" xfId="0" applyNumberFormat="1" applyFont="1" applyFill="1" applyBorder="1" applyAlignment="1">
      <x:alignment horizontal="center" vertical="center" wrapText="1"/>
    </x:xf>
    <x:xf numFmtId="210" fontId="1" fillId="0" borderId="0" xfId="0" applyNumberFormat="1" applyFont="1" applyFill="1" applyBorder="1" applyAlignment="1">
      <x:alignment horizontal="right" vertical="center"/>
    </x:xf>
    <x:xf numFmtId="210" fontId="1" fillId="5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10" fontId="4" fillId="5" borderId="0" xfId="0" applyNumberFormat="1" applyFont="1" applyFill="1" applyBorder="1" applyAlignment="1">
      <x:alignment horizontal="right" vertical="center"/>
    </x:xf>
    <x:xf numFmtId="201" fontId="4" fillId="5" borderId="0" xfId="0" applyNumberFormat="1" applyFont="1" applyFill="1" applyBorder="1" applyAlignment="1">
      <x:alignment horizontal="right" vertical="center"/>
    </x:xf>
    <x:xf numFmtId="210" fontId="4" fillId="5" borderId="14" xfId="0" applyNumberFormat="1" applyFont="1" applyFill="1" applyBorder="1" applyAlignment="1">
      <x:alignment horizontal="right" vertical="center"/>
    </x:xf>
    <x:xf numFmtId="201" fontId="4" fillId="5" borderId="14" xfId="0" applyNumberFormat="1" applyFont="1" applyFill="1" applyBorder="1" applyAlignment="1">
      <x:alignment horizontal="right" vertical="center"/>
    </x:xf>
    <x:xf numFmtId="21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10" fontId="4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10" fontId="4" fillId="3" borderId="15" xfId="0" applyNumberFormat="1" applyFont="1" applyFill="1" applyBorder="1" applyAlignment="1">
      <x:alignment horizontal="right" vertical="center"/>
    </x:xf>
    <x:xf numFmtId="201" fontId="4" fillId="3" borderId="15" xfId="0" applyNumberFormat="1" applyFont="1" applyFill="1" applyBorder="1" applyAlignment="1">
      <x:alignment horizontal="right" vertical="center"/>
    </x:xf>
    <x:xf numFmtId="21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10" fontId="8" fillId="2" borderId="0" xfId="0" applyNumberFormat="1" applyFont="1" applyFill="1" applyBorder="1" applyAlignment="1">
      <x:alignment horizontal="right" vertical="center"/>
    </x:xf>
    <x:xf numFmtId="201" fontId="8" fillId="2" borderId="0" xfId="0" applyNumberFormat="1" applyFont="1" applyFill="1" applyBorder="1" applyAlignment="1">
      <x:alignment horizontal="right" vertical="center"/>
    </x:xf>
    <x:xf numFmtId="210" fontId="8" fillId="2" borderId="5" xfId="0" applyNumberFormat="1" applyFont="1" applyFill="1" applyBorder="1" applyAlignment="1">
      <x:alignment horizontal="right" vertical="center"/>
    </x:xf>
    <x:xf numFmtId="201" fontId="8" fillId="2" borderId="5" xfId="0" applyNumberFormat="1" applyFont="1" applyFill="1" applyBorder="1" applyAlignment="1">
      <x:alignment horizontal="right" vertical="center"/>
    </x:xf>
    <x:xf numFmtId="21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10" fontId="1" fillId="0" borderId="4" xfId="0" applyNumberFormat="1" applyFont="1" applyFill="1" applyBorder="1" applyAlignment="1">
      <x:alignment horizontal="right" vertical="center"/>
    </x:xf>
    <x:xf numFmtId="210" fontId="4" fillId="5" borderId="4" xfId="0" applyNumberFormat="1" applyFont="1" applyFill="1" applyBorder="1" applyAlignment="1">
      <x:alignment horizontal="right" vertical="center"/>
    </x:xf>
    <x:xf numFmtId="201" fontId="4" fillId="5" borderId="4" xfId="0" applyNumberFormat="1" applyFont="1" applyFill="1" applyBorder="1" applyAlignment="1">
      <x:alignment horizontal="right" vertical="center"/>
    </x:xf>
    <x:xf numFmtId="210" fontId="4" fillId="3" borderId="4" xfId="0" applyNumberFormat="1" applyFont="1" applyFill="1" applyBorder="1" applyAlignment="1">
      <x:alignment horizontal="right" vertical="center"/>
    </x:xf>
    <x:xf numFmtId="201" fontId="4" fillId="3" borderId="4" xfId="0" applyNumberFormat="1" applyFont="1" applyFill="1" applyBorder="1" applyAlignment="1">
      <x:alignment horizontal="right" vertical="center"/>
    </x:xf>
    <x:xf numFmtId="210" fontId="8" fillId="2" borderId="4" xfId="0" applyNumberFormat="1" applyFont="1" applyFill="1" applyBorder="1" applyAlignment="1">
      <x:alignment horizontal="right" vertical="center"/>
    </x:xf>
    <x:xf numFmtId="201" fontId="8" fillId="2" borderId="4" xfId="0" applyNumberFormat="1" applyFont="1" applyFill="1" applyBorder="1" applyAlignment="1">
      <x:alignment horizontal="right" vertical="center"/>
    </x:xf>
    <x:xf numFmtId="210" fontId="1" fillId="0" borderId="4" xfId="0" applyNumberFormat="1" applyFont="1" applyFill="1" applyBorder="1" applyAlignment="1">
      <x:alignment horizontal="center" vertical="center"/>
    </x:xf>
    <x:xf numFmtId="201" fontId="1" fillId="0" borderId="4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 applyAlignment="1">
      <x:alignment horizontal="right" vertical="center"/>
    </x:xf>
    <x:xf numFmtId="0" fontId="12" fillId="8" borderId="1" xfId="0" applyNumberFormat="1" applyFont="1" applyFill="1" applyBorder="1" applyAlignment="1">
      <x:alignment horizontal="right" vertical="center"/>
    </x:xf>
    <x:xf numFmtId="0" fontId="12" fillId="8" borderId="2" xfId="0" applyNumberFormat="1" applyFont="1" applyFill="1" applyBorder="1" applyAlignment="1">
      <x:alignment horizontal="right" vertical="center"/>
    </x:xf>
    <x:xf numFmtId="0" fontId="12" fillId="8" borderId="3" xfId="0" applyNumberFormat="1" applyFont="1" applyFill="1" applyBorder="1" applyAlignment="1">
      <x:alignment horizontal="right" vertical="center"/>
    </x:xf>
    <x:xf numFmtId="0" fontId="12" fillId="8" borderId="1" xfId="0" applyNumberFormat="1" applyFont="1" applyFill="1" applyBorder="1" applyAlignment="1">
      <x:alignment horizontal="right" vertical="center" wrapText="1"/>
    </x:xf>
    <x:xf numFmtId="0" fontId="12" fillId="8" borderId="2" xfId="0" applyNumberFormat="1" applyFont="1" applyFill="1" applyBorder="1" applyAlignment="1">
      <x:alignment horizontal="right" vertical="center" wrapText="1"/>
    </x:xf>
    <x:xf numFmtId="0" fontId="12" fillId="8" borderId="3" xfId="0" applyNumberFormat="1" applyFont="1" applyFill="1" applyBorder="1" applyAlignment="1">
      <x:alignment horizontal="right" vertical="center" wrapText="1"/>
    </x:xf>
    <x:xf numFmtId="202" fontId="4" fillId="8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2" fontId="1" fillId="0" borderId="4" xfId="0" applyNumberFormat="1" applyFont="1" applyFill="1" applyBorder="1" applyAlignment="1">
      <x:alignment horizontal="center" vertical="center"/>
    </x:xf>
    <x:xf numFmtId="206" fontId="1" fillId="0" borderId="0" xfId="0" applyNumberFormat="1" applyFont="1" applyFill="1" applyBorder="1" applyAlignment="1">
      <x:alignment horizontal="right" vertical="center"/>
    </x:xf>
    <x:xf numFmtId="201" fontId="9" fillId="0" borderId="0" xfId="0" applyNumberFormat="1" applyFont="1" applyFill="1" applyBorder="1" applyAlignment="1">
      <x:alignment horizontal="right" vertical="center"/>
    </x:xf>
    <x:xf numFmtId="206" fontId="1" fillId="0" borderId="4" xfId="0" applyNumberFormat="1" applyFont="1" applyFill="1" applyBorder="1" applyAlignment="1">
      <x:alignment horizontal="right" vertical="center"/>
    </x:xf>
    <x:xf numFmtId="201" fontId="9" fillId="0" borderId="4" xfId="0" applyNumberFormat="1" applyFont="1" applyFill="1" applyBorder="1" applyAlignment="1">
      <x:alignment horizontal="right" vertical="center"/>
    </x:xf>
    <x:xf numFmtId="206" fontId="4" fillId="8" borderId="4" xfId="0" applyNumberFormat="1" applyFont="1" applyFill="1" applyBorder="1" applyAlignment="1">
      <x:alignment horizontal="center" vertical="center" wrapText="1"/>
    </x:xf>
    <x:xf numFmtId="200" fontId="4" fillId="8" borderId="4" xfId="0" applyNumberFormat="1" applyFont="1" applyFill="1" applyBorder="1" applyAlignment="1">
      <x:alignment horizontal="center" vertical="center" wrapText="1"/>
    </x:xf>
    <x:xf numFmtId="0" fontId="4" fillId="8" borderId="4" xfId="0" applyNumberFormat="1" applyFont="1" applyFill="1" applyBorder="1" applyAlignment="1">
      <x:alignment horizontal="center" vertical="center"/>
    </x:xf>
    <x:xf numFmtId="201" fontId="4" fillId="8" borderId="4" xfId="0" applyNumberFormat="1" applyFont="1" applyFill="1" applyBorder="1" applyAlignment="1">
      <x:alignment horizontal="center" vertical="center"/>
    </x:xf>
    <x:xf numFmtId="0" fontId="6" fillId="8" borderId="4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 applyAlignment="1">
      <x:alignment horizontal="center" vertical="center"/>
    </x:xf>
    <x:xf numFmtId="202" fontId="8" fillId="6" borderId="5" xfId="0" applyNumberFormat="1" applyFont="1" applyFill="1" applyBorder="1" applyAlignment="1">
      <x:alignment horizontal="center" vertical="center" wrapText="1"/>
    </x:xf>
    <x:xf numFmtId="202" fontId="8" fillId="6" borderId="0" xfId="0" applyNumberFormat="1" applyFont="1" applyFill="1" applyBorder="1" applyAlignment="1">
      <x:alignment horizontal="center" vertical="center"/>
    </x:xf>
    <x:xf numFmtId="202" fontId="8" fillId="6" borderId="4" xfId="0" applyNumberFormat="1" applyFont="1" applyFill="1" applyBorder="1" applyAlignment="1">
      <x:alignment horizontal="center" vertical="center"/>
    </x:xf>
    <x:xf numFmtId="0" fontId="12" fillId="8" borderId="6" xfId="0" applyNumberFormat="1" applyFont="1" applyFill="1" applyBorder="1" applyAlignment="1">
      <x:alignment horizontal="right" vertical="center"/>
    </x:xf>
    <x:xf numFmtId="0" fontId="12" fillId="8" borderId="7" xfId="0" applyNumberFormat="1" applyFont="1" applyFill="1" applyBorder="1" applyAlignment="1">
      <x:alignment horizontal="right" vertical="center"/>
    </x:xf>
    <x:xf numFmtId="0" fontId="12" fillId="8" borderId="8" xfId="0" applyNumberFormat="1" applyFont="1" applyFill="1" applyBorder="1" applyAlignment="1">
      <x:alignment horizontal="right" vertical="center"/>
    </x:xf>
    <x:xf numFmtId="0" fontId="12" fillId="8" borderId="11" xfId="0" applyNumberFormat="1" applyFont="1" applyFill="1" applyBorder="1" applyAlignment="1">
      <x:alignment horizontal="right" vertical="center"/>
    </x:xf>
    <x:xf numFmtId="0" fontId="12" fillId="8" borderId="12" xfId="0" applyNumberFormat="1" applyFont="1" applyFill="1" applyBorder="1" applyAlignment="1">
      <x:alignment horizontal="right" vertical="center"/>
    </x:xf>
    <x:xf numFmtId="0" fontId="12" fillId="8" borderId="13" xfId="0" applyNumberFormat="1" applyFont="1" applyFill="1" applyBorder="1" applyAlignment="1">
      <x:alignment horizontal="right" vertical="center"/>
    </x:xf>
    <x:xf numFmtId="0" fontId="12" fillId="8" borderId="6" xfId="0" applyNumberFormat="1" applyFont="1" applyFill="1" applyBorder="1" applyAlignment="1">
      <x:alignment horizontal="right" vertical="center" wrapText="1"/>
    </x:xf>
    <x:xf numFmtId="0" fontId="12" fillId="8" borderId="7" xfId="0" applyNumberFormat="1" applyFont="1" applyFill="1" applyBorder="1" applyAlignment="1">
      <x:alignment horizontal="right" vertical="center" wrapText="1"/>
    </x:xf>
    <x:xf numFmtId="0" fontId="12" fillId="8" borderId="8" xfId="0" applyNumberFormat="1" applyFont="1" applyFill="1" applyBorder="1" applyAlignment="1">
      <x:alignment horizontal="right" vertical="center" wrapText="1"/>
    </x:xf>
    <x:xf numFmtId="0" fontId="12" fillId="8" borderId="11" xfId="0" applyNumberFormat="1" applyFont="1" applyFill="1" applyBorder="1" applyAlignment="1">
      <x:alignment horizontal="right" vertical="center" wrapText="1"/>
    </x:xf>
    <x:xf numFmtId="0" fontId="12" fillId="8" borderId="12" xfId="0" applyNumberFormat="1" applyFont="1" applyFill="1" applyBorder="1" applyAlignment="1">
      <x:alignment horizontal="right" vertical="center" wrapText="1"/>
    </x:xf>
    <x:xf numFmtId="0" fontId="12" fillId="8" borderId="13" xfId="0" applyNumberFormat="1" applyFont="1" applyFill="1" applyBorder="1" applyAlignment="1">
      <x:alignment horizontal="right" vertical="center" wrapText="1"/>
    </x:xf>
    <x:xf numFmtId="211" fontId="5" fillId="4" borderId="0" xfId="0" applyNumberFormat="1" applyFont="1" applyFill="1" applyBorder="1" applyAlignment="1">
      <x:alignment horizontal="right" vertical="center"/>
    </x:xf>
    <x:xf numFmtId="211" fontId="5" fillId="4" borderId="4" xfId="0" applyNumberFormat="1" applyFont="1" applyFill="1" applyBorder="1" applyAlignment="1">
      <x:alignment horizontal="right" vertical="center"/>
    </x:xf>
    <x:xf numFmtId="0" fontId="6" fillId="8" borderId="4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horizontal="right" vertical="center"/>
    </x:xf>
    <x:xf numFmtId="0" fontId="13" fillId="6" borderId="16" xfId="0" applyNumberFormat="1" applyFont="1" applyFill="1" applyBorder="1" applyAlignment="1">
      <x:alignment horizontal="right" vertical="center"/>
    </x:xf>
    <x:xf numFmtId="0" fontId="13" fillId="6" borderId="17" xfId="0" applyNumberFormat="1" applyFont="1" applyFill="1" applyBorder="1" applyAlignment="1">
      <x:alignment horizontal="right" vertical="center"/>
    </x:xf>
    <x:xf numFmtId="0" fontId="13" fillId="6" borderId="18" xfId="0" applyNumberFormat="1" applyFont="1" applyFill="1" applyBorder="1" applyAlignment="1">
      <x:alignment horizontal="right" vertical="center"/>
    </x:xf>
    <x:xf numFmtId="0" fontId="13" fillId="6" borderId="16" xfId="0" applyNumberFormat="1" applyFont="1" applyFill="1" applyBorder="1" applyAlignment="1">
      <x:alignment horizontal="right" vertical="center" wrapText="1"/>
    </x:xf>
    <x:xf numFmtId="0" fontId="13" fillId="6" borderId="17" xfId="0" applyNumberFormat="1" applyFont="1" applyFill="1" applyBorder="1" applyAlignment="1">
      <x:alignment horizontal="right" vertical="center" wrapText="1"/>
    </x:xf>
    <x:xf numFmtId="0" fontId="13" fillId="6" borderId="18" xfId="0" applyNumberFormat="1" applyFont="1" applyFill="1" applyBorder="1" applyAlignment="1">
      <x:alignment horizontal="right" vertical="center" wrapText="1"/>
    </x:xf>
    <x:xf numFmtId="0" fontId="13" fillId="6" borderId="16" xfId="0" applyNumberFormat="1" applyFont="1" applyFill="1" applyBorder="1" applyAlignment="1">
      <x:alignment horizontal="center" vertical="center" wrapText="1"/>
    </x:xf>
    <x:xf numFmtId="0" fontId="13" fillId="6" borderId="17" xfId="0" applyNumberFormat="1" applyFont="1" applyFill="1" applyBorder="1" applyAlignment="1">
      <x:alignment horizontal="center" vertical="center" wrapText="1"/>
    </x:xf>
    <x:xf numFmtId="0" fontId="13" fillId="6" borderId="18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right" vertical="center"/>
    </x:xf>
    <x:xf numFmtId="0" fontId="14" fillId="9" borderId="0" xfId="0" applyNumberFormat="1" applyFont="1" applyFill="1" applyBorder="1" applyAlignment="1">
      <x:alignment horizontal="right" vertical="center"/>
    </x:xf>
    <x:xf numFmtId="0" fontId="14" fillId="9" borderId="1" xfId="0" applyNumberFormat="1" applyFont="1" applyFill="1" applyBorder="1" applyAlignment="1">
      <x:alignment horizontal="right" vertical="center"/>
    </x:xf>
    <x:xf numFmtId="0" fontId="14" fillId="9" borderId="2" xfId="0" applyNumberFormat="1" applyFont="1" applyFill="1" applyBorder="1" applyAlignment="1">
      <x:alignment horizontal="right" vertical="center"/>
    </x:xf>
    <x:xf numFmtId="0" fontId="14" fillId="9" borderId="3" xfId="0" applyNumberFormat="1" applyFont="1" applyFill="1" applyBorder="1" applyAlignment="1">
      <x:alignment horizontal="right" vertical="center"/>
    </x:xf>
    <x:xf numFmtId="0" fontId="14" fillId="9" borderId="1" xfId="0" applyNumberFormat="1" applyFont="1" applyFill="1" applyBorder="1" applyAlignment="1">
      <x:alignment horizontal="right" vertical="center" wrapText="1"/>
    </x:xf>
    <x:xf numFmtId="0" fontId="14" fillId="9" borderId="2" xfId="0" applyNumberFormat="1" applyFont="1" applyFill="1" applyBorder="1" applyAlignment="1">
      <x:alignment horizontal="right" vertical="center" wrapText="1"/>
    </x:xf>
    <x:xf numFmtId="0" fontId="14" fillId="9" borderId="3" xfId="0" applyNumberFormat="1" applyFont="1" applyFill="1" applyBorder="1" applyAlignment="1">
      <x:alignment horizontal="right" vertical="center" wrapText="1"/>
    </x:xf>
    <x:xf numFmtId="0" fontId="14" fillId="9" borderId="1" xfId="0" applyNumberFormat="1" applyFont="1" applyFill="1" applyBorder="1" applyAlignment="1">
      <x:alignment horizontal="center" vertical="center" wrapText="1"/>
    </x:xf>
    <x:xf numFmtId="0" fontId="14" fillId="9" borderId="2" xfId="0" applyNumberFormat="1" applyFont="1" applyFill="1" applyBorder="1" applyAlignment="1">
      <x:alignment horizontal="center" vertical="center" wrapText="1"/>
    </x:xf>
    <x:xf numFmtId="0" fontId="14" fillId="9" borderId="3" xfId="0" applyNumberFormat="1" applyFont="1" applyFill="1" applyBorder="1" applyAlignment="1">
      <x:alignment horizontal="center" vertical="center" wrapText="1"/>
    </x:xf>
    <x:xf numFmtId="0" fontId="15" fillId="9" borderId="0" xfId="0" applyNumberFormat="1" applyFont="1" applyFill="1" applyBorder="1" applyAlignment="1">
      <x:alignment horizontal="right" vertical="center"/>
    </x:xf>
    <x:xf numFmtId="0" fontId="15" fillId="9" borderId="0" xfId="0" applyNumberFormat="1" applyFont="1" applyFill="1" applyBorder="1" applyAlignment="1">
      <x:alignment horizontal="right" vertical="center" wrapText="1"/>
    </x:xf>
    <x:xf numFmtId="0" fontId="15" fillId="9" borderId="0" xfId="0" applyNumberFormat="1" applyFont="1" applyFill="1" applyBorder="1" applyAlignment="1">
      <x:alignment horizontal="center" vertical="center" wrapText="1"/>
    </x:xf>
    <x:xf numFmtId="0" fontId="16" fillId="8" borderId="0" xfId="0" applyNumberFormat="1" applyFont="1" applyFill="1" applyBorder="1" applyAlignment="1">
      <x:alignment horizontal="right" vertical="center"/>
    </x:xf>
    <x:xf numFmtId="0" fontId="16" fillId="8" borderId="1" xfId="0" applyNumberFormat="1" applyFont="1" applyFill="1" applyBorder="1" applyAlignment="1">
      <x:alignment horizontal="right" vertical="center"/>
    </x:xf>
    <x:xf numFmtId="0" fontId="16" fillId="8" borderId="2" xfId="0" applyNumberFormat="1" applyFont="1" applyFill="1" applyBorder="1" applyAlignment="1">
      <x:alignment horizontal="right" vertical="center"/>
    </x:xf>
    <x:xf numFmtId="0" fontId="16" fillId="8" borderId="3" xfId="0" applyNumberFormat="1" applyFont="1" applyFill="1" applyBorder="1" applyAlignment="1">
      <x:alignment horizontal="right" vertical="center"/>
    </x:xf>
    <x:xf numFmtId="0" fontId="16" fillId="8" borderId="1" xfId="0" applyNumberFormat="1" applyFont="1" applyFill="1" applyBorder="1" applyAlignment="1">
      <x:alignment horizontal="right" vertical="center" wrapText="1"/>
    </x:xf>
    <x:xf numFmtId="0" fontId="16" fillId="8" borderId="2" xfId="0" applyNumberFormat="1" applyFont="1" applyFill="1" applyBorder="1" applyAlignment="1">
      <x:alignment horizontal="right" vertical="center" wrapText="1"/>
    </x:xf>
    <x:xf numFmtId="0" fontId="16" fillId="8" borderId="3" xfId="0" applyNumberFormat="1" applyFont="1" applyFill="1" applyBorder="1" applyAlignment="1">
      <x:alignment horizontal="right" vertical="center" wrapText="1"/>
    </x:xf>
    <x:xf numFmtId="0" fontId="16" fillId="8" borderId="1" xfId="0" applyNumberFormat="1" applyFont="1" applyFill="1" applyBorder="1" applyAlignment="1">
      <x:alignment horizontal="center" vertical="center" wrapText="1"/>
    </x:xf>
    <x:xf numFmtId="0" fontId="16" fillId="8" borderId="2" xfId="0" applyNumberFormat="1" applyFont="1" applyFill="1" applyBorder="1" applyAlignment="1">
      <x:alignment horizontal="center" vertical="center" wrapText="1"/>
    </x:xf>
    <x:xf numFmtId="0" fontId="16" fillId="8" borderId="3" xfId="0" applyNumberFormat="1" applyFont="1" applyFill="1" applyBorder="1" applyAlignment="1">
      <x:alignment horizontal="center" vertical="center" wrapText="1"/>
    </x:xf>
    <x:xf numFmtId="201" fontId="14" fillId="9" borderId="1" xfId="0" applyNumberFormat="1" applyFont="1" applyFill="1" applyBorder="1" applyAlignment="1">
      <x:alignment horizontal="center" vertical="center" wrapText="1"/>
    </x:xf>
    <x:xf numFmtId="201" fontId="14" fillId="9" borderId="2" xfId="0" applyNumberFormat="1" applyFont="1" applyFill="1" applyBorder="1" applyAlignment="1">
      <x:alignment horizontal="center" vertical="center" wrapText="1"/>
    </x:xf>
    <x:xf numFmtId="201" fontId="14" fillId="9" borderId="3" xfId="0" applyNumberFormat="1" applyFont="1" applyFill="1" applyBorder="1" applyAlignment="1">
      <x:alignment horizontal="center" vertical="center" wrapText="1"/>
    </x:xf>
    <x:xf numFmtId="202" fontId="15" fillId="9" borderId="0" xfId="0" applyNumberFormat="1" applyFont="1" applyFill="1" applyBorder="1" applyAlignment="1">
      <x:alignment horizontal="center" vertical="center" wrapText="1"/>
    </x:xf>
    <x:xf numFmtId="202" fontId="14" fillId="9" borderId="1" xfId="0" applyNumberFormat="1" applyFont="1" applyFill="1" applyBorder="1" applyAlignment="1">
      <x:alignment horizontal="center" vertical="center" wrapText="1"/>
    </x:xf>
    <x:xf numFmtId="202" fontId="14" fillId="9" borderId="2" xfId="0" applyNumberFormat="1" applyFont="1" applyFill="1" applyBorder="1" applyAlignment="1">
      <x:alignment horizontal="center" vertical="center" wrapText="1"/>
    </x:xf>
    <x:xf numFmtId="202" fontId="14" fillId="9" borderId="3" xfId="0" applyNumberFormat="1" applyFont="1" applyFill="1" applyBorder="1" applyAlignment="1">
      <x:alignment horizontal="center" vertical="center" wrapText="1"/>
    </x:xf>
    <x:xf numFmtId="207" fontId="14" fillId="9" borderId="1" xfId="0" applyNumberFormat="1" applyFont="1" applyFill="1" applyBorder="1" applyAlignment="1">
      <x:alignment horizontal="center" vertical="center" wrapText="1"/>
    </x:xf>
    <x:xf numFmtId="207" fontId="14" fillId="9" borderId="2" xfId="0" applyNumberFormat="1" applyFont="1" applyFill="1" applyBorder="1" applyAlignment="1">
      <x:alignment horizontal="center" vertical="center" wrapText="1"/>
    </x:xf>
    <x:xf numFmtId="207" fontId="14" fillId="9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7" fillId="9" borderId="2" xfId="0" applyNumberFormat="1" applyFont="1" applyFill="1" applyBorder="1" applyAlignment="1">
      <x:alignment horizontal="center" vertical="center" wrapText="1"/>
    </x:xf>
    <x:xf numFmtId="0" fontId="7" fillId="9" borderId="3" xfId="0" applyNumberFormat="1" applyFont="1" applyFill="1" applyBorder="1" applyAlignment="1">
      <x:alignment horizontal="center" vertical="center" wrapText="1"/>
    </x:xf>
    <x:xf numFmtId="0" fontId="1" fillId="5" borderId="4" xfId="0" applyNumberFormat="1" applyFont="1" applyFill="1" applyBorder="1" applyAlignment="1">
      <x:alignment horizontal="right" vertical="center"/>
    </x:xf>
    <x:xf numFmtId="201" fontId="1" fillId="5" borderId="4" xfId="0" applyNumberFormat="1" applyFont="1" applyFill="1" applyBorder="1" applyAlignment="1">
      <x:alignment horizontal="right" vertical="center"/>
    </x:xf>
    <x:xf numFmtId="202" fontId="1" fillId="5" borderId="4" xfId="0" applyNumberFormat="1" applyFont="1" applyFill="1" applyBorder="1" applyAlignment="1">
      <x:alignment horizontal="right" vertical="center"/>
    </x:xf>
    <x:xf numFmtId="0" fontId="4" fillId="5" borderId="4" xfId="0" applyNumberFormat="1" applyFont="1" applyFill="1" applyBorder="1" applyAlignment="1">
      <x:alignment horizontal="right" vertical="center"/>
    </x:xf>
    <x:xf numFmtId="202" fontId="4" fillId="5" borderId="4" xfId="0" applyNumberFormat="1" applyFont="1" applyFill="1" applyBorder="1" applyAlignment="1">
      <x:alignment horizontal="right" vertical="center"/>
    </x:xf>
    <x:xf numFmtId="202" fontId="4" fillId="0" borderId="4" xfId="0" applyNumberFormat="1" applyFont="1" applyFill="1" applyBorder="1" applyAlignment="1">
      <x:alignment horizontal="right" vertical="center"/>
    </x:xf>
    <x:xf numFmtId="0" fontId="1" fillId="3" borderId="4" xfId="0" applyNumberFormat="1" applyFont="1" applyFill="1" applyBorder="1" applyAlignment="1">
      <x:alignment horizontal="right" vertical="center"/>
    </x:xf>
    <x:xf numFmtId="201" fontId="1" fillId="3" borderId="4" xfId="0" applyNumberFormat="1" applyFont="1" applyFill="1" applyBorder="1" applyAlignment="1">
      <x:alignment horizontal="right" vertical="center"/>
    </x:xf>
    <x:xf numFmtId="202" fontId="1" fillId="3" borderId="4" xfId="0" applyNumberFormat="1" applyFont="1" applyFill="1" applyBorder="1" applyAlignment="1">
      <x:alignment horizontal="right" vertical="center"/>
    </x:xf>
    <x:xf numFmtId="0" fontId="4" fillId="3" borderId="4" xfId="0" applyNumberFormat="1" applyFont="1" applyFill="1" applyBorder="1" applyAlignment="1">
      <x:alignment horizontal="right" vertical="center"/>
    </x:xf>
    <x:xf numFmtId="202" fontId="4" fillId="3" borderId="4" xfId="0" applyNumberFormat="1" applyFont="1" applyFill="1" applyBorder="1" applyAlignment="1">
      <x:alignment horizontal="right" vertical="center"/>
    </x:xf>
    <x:xf numFmtId="0" fontId="1" fillId="2" borderId="4" xfId="0" applyNumberFormat="1" applyFont="1" applyFill="1" applyBorder="1" applyAlignment="1">
      <x:alignment horizontal="right" vertical="center"/>
    </x:xf>
    <x:xf numFmtId="201" fontId="1" fillId="2" borderId="4" xfId="0" applyNumberFormat="1" applyFont="1" applyFill="1" applyBorder="1" applyAlignment="1">
      <x:alignment horizontal="right" vertical="center"/>
    </x:xf>
    <x:xf numFmtId="202" fontId="1" fillId="2" borderId="4" xfId="0" applyNumberFormat="1" applyFont="1" applyFill="1" applyBorder="1" applyAlignment="1">
      <x:alignment horizontal="right" vertical="center"/>
    </x:xf>
    <x:xf numFmtId="0" fontId="8" fillId="2" borderId="4" xfId="0" applyNumberFormat="1" applyFont="1" applyFill="1" applyBorder="1" applyAlignment="1">
      <x:alignment horizontal="right" vertical="center"/>
    </x:xf>
    <x:xf numFmtId="202" fontId="8" fillId="2" borderId="4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right" vertical="center" wrapText="1"/>
    </x:xf>
    <x:xf numFmtId="0" fontId="4" fillId="5" borderId="4" xfId="0" applyNumberFormat="1" applyFont="1" applyFill="1" applyBorder="1" applyAlignment="1">
      <x:alignment horizontal="right" vertical="center" wrapText="1"/>
    </x:xf>
    <x:xf numFmtId="0" fontId="4" fillId="0" borderId="4" xfId="0" applyNumberFormat="1" applyFont="1" applyFill="1" applyBorder="1" applyAlignment="1">
      <x:alignment horizontal="right" vertical="center" wrapText="1"/>
    </x:xf>
    <x:xf numFmtId="0" fontId="4" fillId="3" borderId="4" xfId="0" applyNumberFormat="1" applyFont="1" applyFill="1" applyBorder="1" applyAlignment="1">
      <x:alignment horizontal="right" vertical="center" wrapText="1"/>
    </x:xf>
    <x:xf numFmtId="0" fontId="8" fillId="2" borderId="4" xfId="0" applyNumberFormat="1" applyFont="1" applyFill="1" applyBorder="1" applyAlignment="1">
      <x:alignment horizontal="right" vertical="center" wrapText="1"/>
    </x:xf>
    <x:xf numFmtId="208" fontId="8" fillId="6" borderId="5" xfId="0" applyNumberFormat="1" applyFont="1" applyFill="1" applyBorder="1" applyAlignment="1">
      <x:alignment horizontal="center" vertical="center" wrapText="1"/>
    </x:xf>
    <x:xf numFmtId="207" fontId="1" fillId="0" borderId="0" xfId="0" applyNumberFormat="1" applyFont="1" applyFill="1" applyBorder="1" applyAlignment="1">
      <x:alignment horizontal="right" vertical="center"/>
    </x:xf>
    <x:xf numFmtId="207" fontId="1" fillId="0" borderId="4" xfId="0" applyNumberFormat="1" applyFont="1" applyFill="1" applyBorder="1" applyAlignment="1">
      <x:alignment horizontal="right" vertical="center"/>
    </x:xf>
    <x:xf numFmtId="212" fontId="1" fillId="0" borderId="0" xfId="0" applyNumberFormat="1" applyFont="1" applyFill="1" applyBorder="1" applyAlignment="1">
      <x:alignment horizontal="right" vertical="center"/>
    </x:xf>
    <x:xf numFmtId="213" fontId="1" fillId="0" borderId="0" xfId="0" applyNumberFormat="1" applyFont="1" applyFill="1" applyBorder="1" applyAlignment="1">
      <x:alignment horizontal="right" vertical="center"/>
    </x:xf>
    <x:xf numFmtId="212" fontId="1" fillId="0" borderId="4" xfId="0" applyNumberFormat="1" applyFont="1" applyFill="1" applyBorder="1" applyAlignment="1">
      <x:alignment horizontal="right" vertical="center"/>
    </x:xf>
    <x:xf numFmtId="213" fontId="1" fillId="0" borderId="4" xfId="0" applyNumberFormat="1" applyFont="1" applyFill="1" applyBorder="1" applyAlignment="1">
      <x:alignment horizontal="right" vertical="center"/>
    </x:xf>
    <x:xf numFmtId="0" fontId="3" fillId="3" borderId="6" xfId="0" applyNumberFormat="1" applyFont="1" applyFill="1" applyBorder="1" applyAlignment="1">
      <x:alignment horizontal="right" vertical="center"/>
    </x:xf>
    <x:xf numFmtId="0" fontId="3" fillId="3" borderId="7" xfId="0" applyNumberFormat="1" applyFont="1" applyFill="1" applyBorder="1" applyAlignment="1">
      <x:alignment horizontal="right" vertical="center"/>
    </x:xf>
    <x:xf numFmtId="0" fontId="3" fillId="3" borderId="8" xfId="0" applyNumberFormat="1" applyFont="1" applyFill="1" applyBorder="1" applyAlignment="1">
      <x:alignment horizontal="right" vertical="center"/>
    </x:xf>
    <x:xf numFmtId="0" fontId="3" fillId="3" borderId="9" xfId="0" applyNumberFormat="1" applyFont="1" applyFill="1" applyBorder="1" applyAlignment="1">
      <x:alignment horizontal="right" vertical="center"/>
    </x:xf>
    <x:xf numFmtId="0" fontId="3" fillId="3" borderId="10" xfId="0" applyNumberFormat="1" applyFont="1" applyFill="1" applyBorder="1" applyAlignment="1">
      <x:alignment horizontal="right" vertical="center"/>
    </x:xf>
    <x:xf numFmtId="0" fontId="3" fillId="3" borderId="11" xfId="0" applyNumberFormat="1" applyFont="1" applyFill="1" applyBorder="1" applyAlignment="1">
      <x:alignment horizontal="right" vertical="center"/>
    </x:xf>
    <x:xf numFmtId="0" fontId="3" fillId="3" borderId="12" xfId="0" applyNumberFormat="1" applyFont="1" applyFill="1" applyBorder="1" applyAlignment="1">
      <x:alignment horizontal="right" vertical="center"/>
    </x:xf>
    <x:xf numFmtId="0" fontId="3" fillId="3" borderId="13" xfId="0" applyNumberFormat="1" applyFont="1" applyFill="1" applyBorder="1" applyAlignment="1">
      <x:alignment horizontal="right" vertical="center"/>
    </x:xf>
    <x:xf numFmtId="0" fontId="3" fillId="3" borderId="6" xfId="0" applyNumberFormat="1" applyFont="1" applyFill="1" applyBorder="1" applyAlignment="1">
      <x:alignment horizontal="right" vertical="center" wrapText="1"/>
    </x:xf>
    <x:xf numFmtId="0" fontId="3" fillId="3" borderId="7" xfId="0" applyNumberFormat="1" applyFont="1" applyFill="1" applyBorder="1" applyAlignment="1">
      <x:alignment horizontal="right" vertical="center" wrapText="1"/>
    </x:xf>
    <x:xf numFmtId="0" fontId="3" fillId="3" borderId="8" xfId="0" applyNumberFormat="1" applyFont="1" applyFill="1" applyBorder="1" applyAlignment="1">
      <x:alignment horizontal="right" vertical="center" wrapText="1"/>
    </x:xf>
    <x:xf numFmtId="0" fontId="3" fillId="3" borderId="9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10" xfId="0" applyNumberFormat="1" applyFont="1" applyFill="1" applyBorder="1" applyAlignment="1">
      <x:alignment horizontal="right" vertical="center" wrapText="1"/>
    </x:xf>
    <x:xf numFmtId="0" fontId="3" fillId="3" borderId="11" xfId="0" applyNumberFormat="1" applyFont="1" applyFill="1" applyBorder="1" applyAlignment="1">
      <x:alignment horizontal="right" vertical="center" wrapText="1"/>
    </x:xf>
    <x:xf numFmtId="0" fontId="3" fillId="3" borderId="12" xfId="0" applyNumberFormat="1" applyFont="1" applyFill="1" applyBorder="1" applyAlignment="1">
      <x:alignment horizontal="right" vertical="center" wrapText="1"/>
    </x:xf>
    <x:xf numFmtId="0" fontId="3" fillId="3" borderId="13" xfId="0" applyNumberFormat="1" applyFont="1" applyFill="1" applyBorder="1" applyAlignment="1">
      <x:alignment horizontal="right" vertical="center" wrapText="1"/>
    </x:xf>
    <x:xf numFmtId="0" fontId="5" fillId="4" borderId="4" xfId="0" applyNumberFormat="1" applyFont="1" applyFill="1" applyBorder="1" applyAlignment="1">
      <x:alignment horizontal="right" vertical="center" wrapText="1"/>
    </x:xf>
    <x:xf numFmtId="201" fontId="5" fillId="4" borderId="4" xfId="0" applyNumberFormat="1" applyFont="1" applyFill="1" applyBorder="1" applyAlignment="1">
      <x:alignment horizontal="right" vertical="center" wrapText="1"/>
    </x:xf>
    <x:xf numFmtId="202" fontId="5" fillId="4" borderId="4" xfId="0" applyNumberFormat="1" applyFont="1" applyFill="1" applyBorder="1" applyAlignment="1">
      <x:alignment horizontal="right" vertical="center" wrapText="1"/>
    </x:xf>
    <x:xf numFmtId="200" fontId="5" fillId="4" borderId="4" xfId="0" applyNumberFormat="1" applyFont="1" applyFill="1" applyBorder="1" applyAlignment="1">
      <x:alignment horizontal="right" vertical="center" wrapText="1"/>
    </x:xf>
    <x:xf numFmtId="0" fontId="7" fillId="5" borderId="1" xfId="0" applyNumberFormat="1" applyFont="1" applyFill="1" applyBorder="1" applyAlignment="1">
      <x:alignment horizontal="right" vertical="center" wrapText="1"/>
    </x:xf>
    <x:xf numFmtId="0" fontId="7" fillId="5" borderId="2" xfId="0" applyNumberFormat="1" applyFont="1" applyFill="1" applyBorder="1" applyAlignment="1">
      <x:alignment horizontal="right" vertical="center" wrapText="1"/>
    </x:xf>
    <x:xf numFmtId="0" fontId="7" fillId="5" borderId="3" xfId="0" applyNumberFormat="1" applyFont="1" applyFill="1" applyBorder="1" applyAlignment="1">
      <x:alignment horizontal="right" vertical="center" wrapText="1"/>
    </x:xf>
    <x:xf numFmtId="201" fontId="1" fillId="0" borderId="4" xfId="0" applyNumberFormat="1" applyFont="1" applyFill="1" applyBorder="1" applyAlignment="1">
      <x:alignment horizontal="right" vertical="center" wrapText="1"/>
    </x:xf>
    <x:xf numFmtId="202" fontId="1" fillId="0" borderId="4" xfId="0" applyNumberFormat="1" applyFont="1" applyFill="1" applyBorder="1" applyAlignment="1">
      <x:alignment horizontal="right" vertical="center" wrapText="1"/>
    </x:xf>
    <x:xf numFmtId="211" fontId="5" fillId="4" borderId="4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66"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C62828"/>
      </x:font>
      <x:fill>
        <x:patternFill patternType="solid">
          <x:bgColor rgb="FFFDECE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A66A00"/>
      </x:font>
      <x:fill>
        <x:patternFill patternType="solid">
          <x:bgColor rgb="FFFFF4CC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16794D"/>
      </x:font>
      <x:fill>
        <x:patternFill patternType="solid">
          <x:bgColor rgb="FFEAF6F0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  <x:dxf>
      <x:font>
        <x:b/>
        <x:color rgb="FF60747D"/>
      </x:font>
      <x:fill>
        <x:patternFill patternType="solid">
          <x:bgColor rgb="FFF3F5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441c916c54438" /><Relationship Type="http://schemas.openxmlformats.org/officeDocument/2006/relationships/theme" Target="/xl/theme/theme1.xml" Id="Rf0ee85eb7cca42f6" /><Relationship Type="http://schemas.openxmlformats.org/officeDocument/2006/relationships/sharedStrings" Target="/xl/sharedStrings.xml" Id="R1a08142a3e784606" /><Relationship Type="http://schemas.openxmlformats.org/officeDocument/2006/relationships/worksheet" Target="/xl/worksheets/sheet1.xml" Id="R8a4b15c3fce1455a" /><Relationship Type="http://schemas.openxmlformats.org/officeDocument/2006/relationships/worksheet" Target="/xl/worksheets/sheet2.xml" Id="R89b9b63683124c6e" /><Relationship Type="http://schemas.openxmlformats.org/officeDocument/2006/relationships/worksheet" Target="/xl/worksheets/sheet3.xml" Id="R252a8ad05c4d43cd" /><Relationship Type="http://schemas.openxmlformats.org/officeDocument/2006/relationships/worksheet" Target="/xl/worksheets/sheet4.xml" Id="Ra00f40004b02488a" /><Relationship Type="http://schemas.openxmlformats.org/officeDocument/2006/relationships/worksheet" Target="/xl/worksheets/sheet5.xml" Id="R4a3f4da70fa14a14" /><Relationship Type="http://schemas.openxmlformats.org/officeDocument/2006/relationships/worksheet" Target="/xl/worksheets/sheet6.xml" Id="Rf5199c2169144ef0" /><Relationship Type="http://schemas.openxmlformats.org/officeDocument/2006/relationships/worksheet" Target="/xl/worksheets/sheet7.xml" Id="Rb4238453d3bc4f88" /><Relationship Type="http://schemas.openxmlformats.org/officeDocument/2006/relationships/worksheet" Target="/xl/worksheets/sheet8.xml" Id="R11c76c1e9f1941a8" /><Relationship Type="http://schemas.openxmlformats.org/officeDocument/2006/relationships/worksheet" Target="/xl/worksheets/sheet9.xml" Id="R21fb29999b76474b" /><Relationship Type="http://schemas.openxmlformats.org/officeDocument/2006/relationships/worksheet" Target="/xl/worksheets/sheet10.xml" Id="R775b06c8ce7940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eafd9179df041fc" /><Relationship Type="http://schemas.openxmlformats.org/officeDocument/2006/relationships/chart" Target="/xl/drawings/charts/chart2.xml" Id="R22150b1a0162470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Vazir"/>
                <a:ea typeface="Vazir"/>
                <a:cs typeface="Vazir"/>
              </a:rPr>
              <a:t>فروش خالص و CM2 ماهانه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Vazir"/>
              <a:ea typeface="Vazir"/>
              <a:cs typeface="Vazir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فروش خالص</c:v>
          </c:tx>
          <c:spPr>
            <a:ln xmlns:a="http://schemas.openxmlformats.org/drawingml/2006/main" w="19050">
              <a:solidFill>
                <a:srgbClr val="0B6075"/>
              </a:solidFill>
              <a:prstDash val="solid"/>
            </a:ln>
          </c:spPr>
          <c:marker>
            <c:symbol val="none"/>
          </c:marker>
          <c:cat>
            <c:strRef>
              <c:f>'اقتصاد واحد'!$Q$3:$Q$14</c:f>
              <c:strCache>
                <c:ptCount val="0"/>
              </c:strCache>
            </c:strRef>
          </c:cat>
          <c:val>
            <c:numRef>
              <c:f>'اقتصاد واحد'!$R$3:$R$14</c:f>
              <c:numCache>
                <c:formatCode>#,##0;[Red](#,##0);-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CM2</c:v>
          </c:tx>
          <c:spPr>
            <a:ln xmlns:a="http://schemas.openxmlformats.org/drawingml/2006/main" w="19050">
              <a:solidFill>
                <a:srgbClr val="B6954B"/>
              </a:solidFill>
              <a:prstDash val="solid"/>
            </a:ln>
          </c:spPr>
          <c:marker>
            <c:symbol val="none"/>
          </c:marker>
          <c:cat>
            <c:strRef>
              <c:f>'اقتصاد واحد'!$Q$3:$Q$14</c:f>
              <c:strCache>
                <c:ptCount val="0"/>
              </c:strCache>
            </c:strRef>
          </c:cat>
          <c:val>
            <c:numRef>
              <c:f>'اقتصاد واحد'!$S$3:$S$14</c:f>
              <c:numCache>
                <c:formatCode>#,##0;[Red](#,##0);-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Vazir"/>
                <a:ea typeface="Vazir"/>
                <a:cs typeface="Vazi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Vazir"/>
                <a:ea typeface="Vazir"/>
                <a:cs typeface="Vazir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Vazir"/>
              <a:ea typeface="Vazir"/>
              <a:cs typeface="Vazir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Vazir"/>
                <a:ea typeface="Vazir"/>
                <a:cs typeface="Vazir"/>
              </a:rPr>
              <a:t>مانده نقد ۱۳ هفته‌ای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Vazir"/>
              <a:ea typeface="Vazir"/>
              <a:cs typeface="Vazir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مانده نقد</c:v>
          </c:tx>
          <c:spPr>
            <a:ln xmlns:a="http://schemas.openxmlformats.org/drawingml/2006/main" w="19050">
              <a:solidFill>
                <a:srgbClr val="00384D"/>
              </a:solidFill>
              <a:prstDash val="solid"/>
            </a:ln>
          </c:spPr>
          <c:marker>
            <c:symbol val="none"/>
          </c:marker>
          <c:cat>
            <c:strRef>
              <c:f>'اقتصاد واحد'!$Q$18:$Q$30</c:f>
              <c:strCache>
                <c:ptCount val="0"/>
              </c:strCache>
            </c:strRef>
          </c:cat>
          <c:val>
            <c:numRef>
              <c:f>'اقتصاد واحد'!$R$18:$R$30</c:f>
              <c:numCache>
                <c:formatCode>#,##0;[Red](#,##0);-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Vazir"/>
                <a:ea typeface="Vazir"/>
                <a:cs typeface="Vazi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Vazir"/>
                <a:ea typeface="Vazir"/>
                <a:cs typeface="Vazir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18</xdr:row>
      <xdr:rowOff>0</xdr:rowOff>
    </xdr:from>
    <xdr:to>
      <xdr:col>15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afd9179df041fc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15</xdr:col>
      <xdr:colOff>0</xdr:colOff>
      <xdr:row>51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150b1a0162470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cfbbe8da6e54033" /></Relationships>
</file>

<file path=xl/worksheets/sheet1.xml><?xml version="1.0" encoding="utf-8"?>
<x:worksheet xmlns:x="http://schemas.openxmlformats.org/spreadsheetml/2006/main">
  <x:sheetPr>
    <x:tabColor rgb="FF0038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7" max="17" width="15" hidden="0" customWidth="1"/>
    <x:col min="18" max="18" width="15" hidden="0" customWidth="1"/>
    <x:col min="19" max="19" width="15" hidden="0" customWidth="1"/>
  </x:cols>
  <x:sheetData>
    <x:row r="1" ht="34" hidden="0" customHeight="1">
      <x:c r="A1" s="7" t="str">
        <x:v>T07 | داشبورد مالی و فروش</x:v>
      </x:c>
      <x:c r="B1" s="7" t="str">
        <x:v>T07 | داشبورد مالی و فروش</x:v>
      </x:c>
      <x:c r="C1" s="7" t="str">
        <x:v>T07 | داشبورد مالی و فروش</x:v>
      </x:c>
      <x:c r="D1" s="7" t="str">
        <x:v>T07 | داشبورد مالی و فروش</x:v>
      </x:c>
      <x:c r="E1" s="7" t="str">
        <x:v>T07 | داشبورد مالی و فروش</x:v>
      </x:c>
      <x:c r="F1" s="7" t="str">
        <x:v>T07 | داشبورد مالی و فروش</x:v>
      </x:c>
      <x:c r="G1" s="7" t="str">
        <x:v>T07 | داشبورد مالی و فروش</x:v>
      </x:c>
      <x:c r="H1" s="7" t="str">
        <x:v>T07 | داشبورد مالی و فروش</x:v>
      </x:c>
      <x:c r="I1" s="7" t="str">
        <x:v>T07 | داشبورد مالی و فروش</x:v>
      </x:c>
      <x:c r="J1" s="7" t="str">
        <x:v>T07 | داشبورد مالی و فروش</x:v>
      </x:c>
      <x:c r="K1" s="7" t="str">
        <x:v>T07 | داشبورد مالی و فروش</x:v>
      </x:c>
      <x:c r="L1" s="7" t="str">
        <x:v>T07 | داشبورد مالی و فروش</x:v>
      </x:c>
      <x:c r="M1" s="7" t="str">
        <x:v>T07 | داشبورد مالی و فروش</x:v>
      </x:c>
      <x:c r="N1" s="7" t="str">
        <x:v>T07 | داشبورد مالی و فروش</x:v>
      </x:c>
      <x:c r="O1" s="7" t="str">
        <x:v>T07 | داشبورد مالی و فروش</x:v>
      </x:c>
      <x:c r="P1" s="3"/>
      <x:c r="Q1" s="3"/>
      <x:c r="R1" s="3"/>
      <x:c r="S1" s="3"/>
    </x:row>
    <x:row r="2" ht="34" hidden="0" customHeight="1">
      <x:c r="A2" s="7" t="str">
        <x:v>T07 | داشبورد مالی و فروش</x:v>
      </x:c>
      <x:c r="B2" s="7" t="str">
        <x:v>T07 | داشبورد مالی و فروش</x:v>
      </x:c>
      <x:c r="C2" s="7" t="str">
        <x:v>T07 | داشبورد مالی و فروش</x:v>
      </x:c>
      <x:c r="D2" s="7" t="str">
        <x:v>T07 | داشبورد مالی و فروش</x:v>
      </x:c>
      <x:c r="E2" s="7" t="str">
        <x:v>T07 | داشبورد مالی و فروش</x:v>
      </x:c>
      <x:c r="F2" s="7" t="str">
        <x:v>T07 | داشبورد مالی و فروش</x:v>
      </x:c>
      <x:c r="G2" s="7" t="str">
        <x:v>T07 | داشبورد مالی و فروش</x:v>
      </x:c>
      <x:c r="H2" s="7" t="str">
        <x:v>T07 | داشبورد مالی و فروش</x:v>
      </x:c>
      <x:c r="I2" s="7" t="str">
        <x:v>T07 | داشبورد مالی و فروش</x:v>
      </x:c>
      <x:c r="J2" s="7" t="str">
        <x:v>T07 | داشبورد مالی و فروش</x:v>
      </x:c>
      <x:c r="K2" s="7" t="str">
        <x:v>T07 | داشبورد مالی و فروش</x:v>
      </x:c>
      <x:c r="L2" s="7" t="str">
        <x:v>T07 | داشبورد مالی و فروش</x:v>
      </x:c>
      <x:c r="M2" s="7" t="str">
        <x:v>T07 | داشبورد مالی و فروش</x:v>
      </x:c>
      <x:c r="N2" s="7" t="str">
        <x:v>T07 | داشبورد مالی و فروش</x:v>
      </x:c>
      <x:c r="O2" s="7" t="str">
        <x:v>T07 | داشبورد مالی و فروش</x:v>
      </x:c>
      <x:c r="P2" s="3"/>
      <x:c r="Q2" s="3" t="str">
        <x:v>ماه</x:v>
      </x:c>
      <x:c r="R2" s="3" t="str">
        <x:v>فروش خالص</x:v>
      </x:c>
      <x:c r="S2" s="3" t="str">
        <x:v>CM2</x:v>
      </x:c>
    </x:row>
    <x:row r="3" ht="15" hidden="0" customHeight="1">
      <x:c r="A3" s="89" t="str">
        <x:v>ده پاسخ هفتگی کتاب در این صفحه جمع شده‌اند. فروش، حاشیه و وجه نقد جدا محاسبه می‌شوند و هر نتیجه به شیت مالک خود متصل است.</x:v>
      </x:c>
      <x:c r="B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C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D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E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F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G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H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I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J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K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L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M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N3" s="90" t="str">
        <x:v>ده پاسخ هفتگی کتاب در این صفحه جمع شده‌اند. فروش، حاشیه و وجه نقد جدا محاسبه می‌شوند و هر نتیجه به شیت مالک خود متصل است.</x:v>
      </x:c>
      <x:c r="O3" s="91" t="str">
        <x:v>ده پاسخ هفتگی کتاب در این صفحه جمع شده‌اند. فروش، حاشیه و وجه نقد جدا محاسبه می‌شوند و هر نتیجه به شیت مالک خود متصل است.</x:v>
      </x:c>
      <x:c r="P3" s="3"/>
      <x:c r="Q3" s="99" t="str">
        <x:f>TEXT(B54,"mmm-yy")</x:f>
        <x:v>Sep-26</x:v>
      </x:c>
      <x:c r="R3" s="76" t="n">
        <x:f>B57</x:f>
        <x:v>180000000</x:v>
      </x:c>
      <x:c r="S3" s="76" t="n">
        <x:f>B63</x:f>
        <x:v>32000000</x:v>
      </x:c>
    </x:row>
    <x:row r="4" ht="15" hidden="0" customHeight="1">
      <x:c r="A4" s="96" t="str">
        <x:v>وضعیت مرور</x:v>
      </x:c>
      <x:c r="B4" s="96" t="str">
        <x:f>IF(OR(COUNTA('محصول و کانال'!$C$9:$C$88)=0,COUNTA('قیف و آزمایش‌ها'!$B$14:$B$33)=0,NOT(ISNUMBER('تقویم نقد'!$B$5)),NOT(ISNUMBER('مرجوعی و بازخورد'!$B$5)),NOT(ISNUMBER('محصول و کانال'!$E$5))),"خاکستری",IF(OR(SUM('محصول و کانال'!$AB$9:$AB$88)&lt;0,'تقویم نقد'!$B$5&lt;'فرض‌ها و منابع'!$B$20,'مرجوعی و بازخورد'!$B$5&gt;'فرض‌ها و منابع'!$B$15),"قرمز",IF(OR(SUM('محصول و کانال'!$AB$9:$AB$88)/SUM('محصول و کانال'!$Q$9:$Q$88)&lt;'فرض‌ها و منابع'!$B$13,'محصول و کانال'!$E$5&gt;'فرض‌ها و منابع'!$B$16,'قیف و آزمایش‌ها'!$B$5&lt;'فرض‌ها و منابع'!$B$19),"زرد","سبز")))</x:f>
        <x:v>زرد</x:v>
      </x:c>
      <x:c r="C4" s="96" t="str"/>
      <x:c r="D4" s="96" t="str">
        <x:v>سناریوی برنامه</x:v>
      </x:c>
      <x:c r="E4" s="167" t="str">
        <x:f>'فرض‌ها و منابع'!$C$5</x:f>
        <x:v>پایه</x:v>
      </x:c>
      <x:c r="F4" s="167" t="str"/>
      <x:c r="G4" s="96" t="str">
        <x:v>وضعیت داده</x:v>
      </x:c>
      <x:c r="H4" s="96" t="str">
        <x:f>'فرض‌ها و منابع'!$B$6</x:f>
        <x:v>نمونه آموزشی: پیش از استفاده واقعی جایگزین شود</x:v>
      </x:c>
      <x:c r="I4" s="96" t="str"/>
      <x:c r="J4" s="96" t="str"/>
      <x:c r="K4" s="96" t="str">
        <x:v>آخرین به‌روزرسانی</x:v>
      </x:c>
      <x:c r="L4" s="145" t="n">
        <x:f>'فرض‌ها و منابع'!$B$4</x:f>
        <x:v>46280</x:v>
      </x:c>
      <x:c r="M4" s="145" t="str"/>
      <x:c r="N4" s="96" t="str">
        <x:v>واحد مبالغ: تومان</x:v>
      </x:c>
      <x:c r="O4" s="96" t="str"/>
      <x:c r="P4" s="3"/>
      <x:c r="Q4" s="99" t="str">
        <x:f>TEXT(C54,"mmm-yy")</x:f>
        <x:v>Oct-26</x:v>
      </x:c>
      <x:c r="R4" s="76" t="n">
        <x:f>C57</x:f>
        <x:v>198000000</x:v>
      </x:c>
      <x:c r="S4" s="76" t="n">
        <x:f>C63</x:f>
        <x:v>35200000</x:v>
      </x:c>
    </x:row>
    <x:row r="5" ht="15" hidden="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99" t="str">
        <x:f>TEXT(D54,"mmm-yy")</x:f>
        <x:v>Nov-26</x:v>
      </x:c>
      <x:c r="R5" s="76" t="n">
        <x:f>D57</x:f>
        <x:v>216000000</x:v>
      </x:c>
      <x:c r="S5" s="76" t="n">
        <x:f>D63</x:f>
        <x:v>38400000</x:v>
      </x:c>
    </x:row>
    <x:row r="6" ht="15" hidden="0" customHeight="1">
      <x:c r="A6" s="26" t="str">
        <x:v>ده پاسخ هفتگی</x:v>
      </x:c>
      <x:c r="B6" s="27" t="str">
        <x:v>ده پاسخ هفتگی</x:v>
      </x:c>
      <x:c r="C6" s="27" t="str">
        <x:v>ده پاسخ هفتگی</x:v>
      </x:c>
      <x:c r="D6" s="27" t="str">
        <x:v>ده پاسخ هفتگی</x:v>
      </x:c>
      <x:c r="E6" s="27" t="str">
        <x:v>ده پاسخ هفتگی</x:v>
      </x:c>
      <x:c r="F6" s="27" t="str">
        <x:v>ده پاسخ هفتگی</x:v>
      </x:c>
      <x:c r="G6" s="27" t="str">
        <x:v>ده پاسخ هفتگی</x:v>
      </x:c>
      <x:c r="H6" s="27" t="str">
        <x:v>ده پاسخ هفتگی</x:v>
      </x:c>
      <x:c r="I6" s="27" t="str">
        <x:v>ده پاسخ هفتگی</x:v>
      </x:c>
      <x:c r="J6" s="27" t="str">
        <x:v>ده پاسخ هفتگی</x:v>
      </x:c>
      <x:c r="K6" s="27" t="str">
        <x:v>ده پاسخ هفتگی</x:v>
      </x:c>
      <x:c r="L6" s="27" t="str">
        <x:v>ده پاسخ هفتگی</x:v>
      </x:c>
      <x:c r="M6" s="27" t="str">
        <x:v>ده پاسخ هفتگی</x:v>
      </x:c>
      <x:c r="N6" s="27" t="str">
        <x:v>ده پاسخ هفتگی</x:v>
      </x:c>
      <x:c r="O6" s="28" t="str">
        <x:v>ده پاسخ هفتگی</x:v>
      </x:c>
      <x:c r="P6" s="3"/>
      <x:c r="Q6" s="99" t="str">
        <x:f>TEXT(E54,"mmm-yy")</x:f>
        <x:v>Dec-26</x:v>
      </x:c>
      <x:c r="R6" s="76" t="n">
        <x:f>E57</x:f>
        <x:v>234000000</x:v>
      </x:c>
      <x:c r="S6" s="76" t="n">
        <x:f>E63</x:f>
        <x:v>41600000</x:v>
      </x:c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99" t="str">
        <x:f>TEXT(F54,"mmm-yy")</x:f>
        <x:v>Jan-27</x:v>
      </x:c>
      <x:c r="R7" s="76" t="n">
        <x:f>F57</x:f>
        <x:v>252000000</x:v>
      </x:c>
      <x:c r="S7" s="76" t="n">
        <x:f>F63</x:f>
        <x:v>44800000</x:v>
      </x:c>
    </x:row>
    <x:row r="8" ht="15" hidden="0" customHeight="1">
      <x:c r="A8" s="175" t="str">
        <x:v>فروش خالص و سفارش پرداخت‌شده</x:v>
      </x:c>
      <x:c r="B8" s="176"/>
      <x:c r="C8" s="177"/>
      <x:c r="D8" s="175" t="str">
        <x:v>CM2 مبلغی و درصدی</x:v>
      </x:c>
      <x:c r="E8" s="176"/>
      <x:c r="F8" s="177"/>
      <x:c r="G8" s="175" t="str">
        <x:v>مشتری جدید و CAC</x:v>
      </x:c>
      <x:c r="H8" s="176"/>
      <x:c r="I8" s="177"/>
      <x:c r="J8" s="175" t="str">
        <x:v>بزرگ‌ترین نشتی قیف</x:v>
      </x:c>
      <x:c r="K8" s="176"/>
      <x:c r="L8" s="177"/>
      <x:c r="M8" s="175" t="str">
        <x:v>وضعیت آزمایش فعال</x:v>
      </x:c>
      <x:c r="N8" s="176"/>
      <x:c r="O8" s="177"/>
      <x:c r="P8" s="3"/>
      <x:c r="Q8" s="99" t="str">
        <x:f>TEXT(G54,"mmm-yy")</x:f>
        <x:v>Feb-27</x:v>
      </x:c>
      <x:c r="R8" s="76" t="n">
        <x:f>G57</x:f>
        <x:v>270000000</x:v>
      </x:c>
      <x:c r="S8" s="76" t="n">
        <x:f>G63</x:f>
        <x:v>48000000</x:v>
      </x:c>
    </x:row>
    <x:row r="9" ht="16.799999237060547" hidden="0" customHeight="1">
      <x:c r="A9" s="202" t="n">
        <x:f>IF(COUNTA('محصول و کانال'!$C$9:$C$88)=0,"n.a.",SUM('محصول و کانال'!$Q$9:$Q$88))</x:f>
        <x:v>3348000000</x:v>
      </x:c>
      <x:c r="B9" s="203"/>
      <x:c r="C9" s="204"/>
      <x:c r="D9" s="202" t="n">
        <x:f>IF(COUNTA('محصول و کانال'!$C$9:$C$88)=0,"n.a.",SUM('محصول و کانال'!$AB$9:$AB$88))</x:f>
        <x:v>595200000</x:v>
      </x:c>
      <x:c r="E9" s="203"/>
      <x:c r="F9" s="204"/>
      <x:c r="G9" s="202" t="n">
        <x:f>IF(COUNTA('محصول و کانال'!$C$9:$C$88)=0,"n.a.",SUM('محصول و کانال'!$L$9:$L$88))</x:f>
        <x:v>2367</x:v>
      </x:c>
      <x:c r="H9" s="203"/>
      <x:c r="I9" s="204"/>
      <x:c r="J9" s="186" t="str">
        <x:f>'قیف و آزمایش‌ها'!$E$5</x:f>
        <x:v>مشاهده محصول به سبد</x:v>
      </x:c>
      <x:c r="K9" s="187"/>
      <x:c r="L9" s="188"/>
      <x:c r="M9" s="202" t="n">
        <x:f>'قیف و آزمایش‌ها'!$L$5</x:f>
        <x:v>1</x:v>
      </x:c>
      <x:c r="N9" s="203"/>
      <x:c r="O9" s="204"/>
      <x:c r="P9" s="3"/>
      <x:c r="Q9" s="99" t="str">
        <x:f>TEXT(H54,"mmm-yy")</x:f>
        <x:v>Mar-27</x:v>
      </x:c>
      <x:c r="R9" s="76" t="n">
        <x:f>H57</x:f>
        <x:v>288000000</x:v>
      </x:c>
      <x:c r="S9" s="76" t="n">
        <x:f>H63</x:f>
        <x:v>51200000</x:v>
      </x:c>
    </x:row>
    <x:row r="10" ht="15" hidden="0" customHeight="1">
      <x:c r="A10" s="191" t="str">
        <x:f>IF(COUNTA('محصول و کانال'!$C$9:$C$88)=0,"ثبت نشده",SUM('محصول و کانال'!$K$9:$K$88)&amp;" سفارش")</x:f>
        <x:v>3382 سفارش</x:v>
      </x:c>
      <x:c r="B10" s="191"/>
      <x:c r="C10" s="191"/>
      <x:c r="D10" s="191" t="str">
        <x:f>IF(SUM('محصول و کانال'!$Q$9:$Q$88)=0,"n.a.",TEXT(SUM('محصول و کانال'!$AB$9:$AB$88)/SUM('محصول و کانال'!$Q$9:$Q$88),"0.0%"))</x:f>
        <x:v>17.8%</x:v>
      </x:c>
      <x:c r="E10" s="191"/>
      <x:c r="F10" s="191"/>
      <x:c r="G10" s="191" t="str">
        <x:f>IF(SUM('محصول و کانال'!$L$9:$L$88)=0,"n.a.",TEXT(SUM('محصول و کانال'!$Y$9:$Y$88)/SUM('محصول و کانال'!$L$9:$L$88),"#,##0")&amp;" تومان")</x:f>
        <x:v>188,593 تومان</x:v>
      </x:c>
      <x:c r="H10" s="191"/>
      <x:c r="I10" s="191"/>
      <x:c r="J10" s="205" t="n">
        <x:f>'قیف و آزمایش‌ها'!$I$5</x:f>
        <x:v>0.8799987595168318</x:v>
      </x:c>
      <x:c r="K10" s="205"/>
      <x:c r="L10" s="205"/>
      <x:c r="M10" s="191" t="str">
        <x:f>IF(M9=0,"آزمایش فعال ندارد",M9&amp;" آزمایش در حال اجرا")</x:f>
        <x:v>1 آزمایش در حال اجرا</x:v>
      </x:c>
      <x:c r="N10" s="191"/>
      <x:c r="O10" s="191"/>
      <x:c r="P10" s="3"/>
      <x:c r="Q10" s="99" t="str">
        <x:f>TEXT(I54,"mmm-yy")</x:f>
        <x:v>Apr-27</x:v>
      </x:c>
      <x:c r="R10" s="76" t="n">
        <x:f>I57</x:f>
        <x:v>306000000</x:v>
      </x:c>
      <x:c r="S10" s="76" t="n">
        <x:f>I63</x:f>
        <x:v>54400000</x:v>
      </x:c>
    </x:row>
    <x:row r="11" ht="15" hidden="0" customHeight="1">
      <x:c r="A11" s="199" t="str">
        <x:f>"محصول و کانال | "&amp;TEXT('فرض‌ها و منابع'!$B$4,"yyyy-mm-dd")</x:f>
        <x:v>محصول و کانال | 2026-09-15</x:v>
      </x:c>
      <x:c r="B11" s="200"/>
      <x:c r="C11" s="201"/>
      <x:c r="D11" s="199" t="str">
        <x:f>"محصول و کانال | "&amp;TEXT('فرض‌ها و منابع'!$B$4,"yyyy-mm-dd")</x:f>
        <x:v>محصول و کانال | 2026-09-15</x:v>
      </x:c>
      <x:c r="E11" s="200"/>
      <x:c r="F11" s="201"/>
      <x:c r="G11" s="199" t="str">
        <x:f>"محصول و کانال | "&amp;TEXT('فرض‌ها و منابع'!$B$4,"yyyy-mm-dd")</x:f>
        <x:v>محصول و کانال | 2026-09-15</x:v>
      </x:c>
      <x:c r="H11" s="200"/>
      <x:c r="I11" s="201"/>
      <x:c r="J11" s="199" t="str">
        <x:f>"قیف و آزمایش‌ها | "&amp;TEXT('فرض‌ها و منابع'!$B$4,"yyyy-mm-dd")</x:f>
        <x:v>قیف و آزمایش‌ها | 2026-09-15</x:v>
      </x:c>
      <x:c r="K11" s="200"/>
      <x:c r="L11" s="201"/>
      <x:c r="M11" s="199" t="str">
        <x:f>"قیف و آزمایش‌ها | "&amp;TEXT('فرض‌ها و منابع'!$B$4,"yyyy-mm-dd")</x:f>
        <x:v>قیف و آزمایش‌ها | 2026-09-15</x:v>
      </x:c>
      <x:c r="N11" s="200"/>
      <x:c r="O11" s="201"/>
      <x:c r="P11" s="3"/>
      <x:c r="Q11" s="99" t="str">
        <x:f>TEXT(J54,"mmm-yy")</x:f>
        <x:v>May-27</x:v>
      </x:c>
      <x:c r="R11" s="76" t="n">
        <x:f>J57</x:f>
        <x:v>324000000</x:v>
      </x:c>
      <x:c r="S11" s="76" t="n">
        <x:f>J63</x:f>
        <x:v>57600000</x:v>
      </x:c>
    </x:row>
    <x:row r="12" ht="15" hidden="0" customHeight="1">
      <x:c r="A12" s="212"/>
      <x:c r="B12" s="212"/>
      <x:c r="C12" s="212"/>
      <x:c r="D12" s="212"/>
      <x:c r="E12" s="212"/>
      <x:c r="F12" s="212"/>
      <x:c r="G12" s="212"/>
      <x:c r="H12" s="212"/>
      <x:c r="I12" s="212"/>
      <x:c r="J12" s="212"/>
      <x:c r="K12" s="212"/>
      <x:c r="L12" s="212"/>
      <x:c r="M12" s="212"/>
      <x:c r="N12" s="212"/>
      <x:c r="O12" s="212"/>
      <x:c r="P12" s="3"/>
      <x:c r="Q12" s="99" t="str">
        <x:f>TEXT(K54,"mmm-yy")</x:f>
        <x:v>Jun-27</x:v>
      </x:c>
      <x:c r="R12" s="76" t="n">
        <x:f>K57</x:f>
        <x:v>342000000</x:v>
      </x:c>
      <x:c r="S12" s="76" t="n">
        <x:f>K63</x:f>
        <x:v>60800000</x:v>
      </x:c>
    </x:row>
    <x:row r="13" ht="15" hidden="0" customHeight="1">
      <x:c r="A13" s="175" t="str">
        <x:v>مرجوعی و شکایت شدید</x:v>
      </x:c>
      <x:c r="B13" s="176"/>
      <x:c r="C13" s="177"/>
      <x:c r="D13" s="175" t="str">
        <x:v>کیفیت کوهورت واجدفرصت</x:v>
      </x:c>
      <x:c r="E13" s="176"/>
      <x:c r="F13" s="177"/>
      <x:c r="G13" s="175" t="str">
        <x:v>پوشش موجودی و سفارش بعدی</x:v>
      </x:c>
      <x:c r="H13" s="176"/>
      <x:c r="I13" s="177"/>
      <x:c r="J13" s="175" t="str">
        <x:v>کمترین نقد و مطالبات عقب‌افتاده</x:v>
      </x:c>
      <x:c r="K13" s="176"/>
      <x:c r="L13" s="177"/>
      <x:c r="M13" s="175" t="str">
        <x:v>تصمیم این هفته</x:v>
      </x:c>
      <x:c r="N13" s="176"/>
      <x:c r="O13" s="177"/>
      <x:c r="P13" s="3"/>
      <x:c r="Q13" s="99" t="str">
        <x:f>TEXT(L54,"mmm-yy")</x:f>
        <x:v>Jul-27</x:v>
      </x:c>
      <x:c r="R13" s="76" t="n">
        <x:f>L57</x:f>
        <x:v>360000000</x:v>
      </x:c>
      <x:c r="S13" s="76" t="n">
        <x:f>L63</x:f>
        <x:v>64000000</x:v>
      </x:c>
    </x:row>
    <x:row r="14" ht="16.799999237060547" hidden="0" customHeight="1">
      <x:c r="A14" s="206" t="n">
        <x:f>'مرجوعی و بازخورد'!$B$5</x:f>
        <x:v>0.013440860215053764</x:v>
      </x:c>
      <x:c r="B14" s="207"/>
      <x:c r="C14" s="208"/>
      <x:c r="D14" s="206" t="n">
        <x:f>'کوهورت و تکرار'!$B$5</x:f>
        <x:v>0.28205128205128205</x:v>
      </x:c>
      <x:c r="E14" s="207"/>
      <x:c r="F14" s="208"/>
      <x:c r="G14" s="209" t="n">
        <x:f>'محصول و کانال'!$E$5</x:f>
        <x:v>2.8866666666666667</x:v>
      </x:c>
      <x:c r="H14" s="210"/>
      <x:c r="I14" s="211"/>
      <x:c r="J14" s="202" t="n">
        <x:f>'تقویم نقد'!$B$5</x:f>
        <x:v>122000000</x:v>
      </x:c>
      <x:c r="K14" s="203"/>
      <x:c r="L14" s="204"/>
      <x:c r="M14" s="213" t="str">
        <x:f>'دفتر تصمیم'!$B$5</x:f>
        <x:v>بودجه ثابت بماند و صفحه محصول اصلاح شود.</x:v>
      </x:c>
      <x:c r="N14" s="214"/>
      <x:c r="O14" s="215"/>
      <x:c r="P14" s="3"/>
      <x:c r="Q14" s="99" t="str">
        <x:f>TEXT(M54,"mmm-yy")</x:f>
        <x:v>Aug-27</x:v>
      </x:c>
      <x:c r="R14" s="76" t="n">
        <x:f>M57</x:f>
        <x:v>378000000</x:v>
      </x:c>
      <x:c r="S14" s="76" t="n">
        <x:f>M63</x:f>
        <x:v>67200000</x:v>
      </x:c>
    </x:row>
    <x:row r="15" ht="15" hidden="0" customHeight="1">
      <x:c r="A15" s="191" t="str">
        <x:f>'مرجوعی و بازخورد'!$E$5&amp;" شکایت شدید باز"</x:f>
        <x:v>0 شکایت شدید باز</x:v>
      </x:c>
      <x:c r="B15" s="191"/>
      <x:c r="C15" s="191"/>
      <x:c r="D15" s="191" t="str">
        <x:f>'کوهورت و تکرار'!$E$5&amp;" کوهورت واجدفرصت"</x:f>
        <x:v>4 کوهورت واجدفرصت</x:v>
      </x:c>
      <x:c r="E15" s="191"/>
      <x:c r="F15" s="191"/>
      <x:c r="G15" s="191" t="str">
        <x:f>IF(ISNUMBER('محصول و کانال'!$B$5),"سفارش بعدی: "&amp;TEXT('محصول و کانال'!$B$5,"yyyy-mm-dd"),"تاریخ ثبت نشده")</x:f>
        <x:v>سفارش بعدی: 2026-10-20</x:v>
      </x:c>
      <x:c r="H15" s="191"/>
      <x:c r="I15" s="191"/>
      <x:c r="J15" s="191" t="str">
        <x:f>IF(ISNUMBER('تقویم نقد'!$H$5),TEXT('تقویم نقد'!$H$5,"#,##0")&amp;" تومان عقب‌افتاده","n.a.")</x:f>
        <x:v>25,000,000 تومان عقب‌افتاده</x:v>
      </x:c>
      <x:c r="K15" s="191"/>
      <x:c r="L15" s="191"/>
      <x:c r="M15" s="191" t="str">
        <x:f>IF('دفتر تصمیم'!$G$5="","مالک ثبت نشده",'دفتر تصمیم'!$G$5&amp;" | "&amp;TEXT('دفتر تصمیم'!$J$5,"yyyy-mm-dd"))</x:f>
        <x:v>فروش | 2026-10-15</x:v>
      </x:c>
      <x:c r="N15" s="191"/>
      <x:c r="O15" s="191"/>
      <x:c r="P15" s="3"/>
      <x:c r="Q15" s="3"/>
      <x:c r="R15" s="3"/>
      <x:c r="S15" s="3"/>
    </x:row>
    <x:row r="16" ht="15" hidden="0" customHeight="1">
      <x:c r="A16" s="199" t="str">
        <x:f>"مرجوعی و بازخورد | "&amp;TEXT('فرض‌ها و منابع'!$B$4,"yyyy-mm-dd")</x:f>
        <x:v>مرجوعی و بازخورد | 2026-09-15</x:v>
      </x:c>
      <x:c r="B16" s="200"/>
      <x:c r="C16" s="201"/>
      <x:c r="D16" s="199" t="str">
        <x:f>"کوهورت و تکرار | "&amp;TEXT('فرض‌ها و منابع'!$B$4,"yyyy-mm-dd")</x:f>
        <x:v>کوهورت و تکرار | 2026-09-15</x:v>
      </x:c>
      <x:c r="E16" s="200"/>
      <x:c r="F16" s="201"/>
      <x:c r="G16" s="199" t="str">
        <x:f>"محصول و کانال | "&amp;TEXT('فرض‌ها و منابع'!$B$4,"yyyy-mm-dd")</x:f>
        <x:v>محصول و کانال | 2026-09-15</x:v>
      </x:c>
      <x:c r="H16" s="200"/>
      <x:c r="I16" s="201"/>
      <x:c r="J16" s="199" t="str">
        <x:f>"تقویم نقد | "&amp;TEXT('فرض‌ها و منابع'!$B$4,"yyyy-mm-dd")</x:f>
        <x:v>تقویم نقد | 2026-09-15</x:v>
      </x:c>
      <x:c r="K16" s="200"/>
      <x:c r="L16" s="201"/>
      <x:c r="M16" s="199" t="str">
        <x:f>"دفتر تصمیم | "&amp;TEXT('فرض‌ها و منابع'!$B$4,"yyyy-mm-dd")</x:f>
        <x:v>دفتر تصمیم | 2026-09-15</x:v>
      </x:c>
      <x:c r="N16" s="200"/>
      <x:c r="O16" s="201"/>
      <x:c r="P16" s="3"/>
      <x:c r="Q16" s="3"/>
      <x:c r="R16" s="3"/>
      <x:c r="S16" s="3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 t="str">
        <x:v>هفته</x:v>
      </x:c>
      <x:c r="R17" s="3" t="str">
        <x:v>مانده نقد</x:v>
      </x:c>
      <x:c r="S17" s="3"/>
    </x:row>
    <x:row r="18" ht="15" hidden="0" customHeight="1">
      <x:c r="A18" s="26" t="str">
        <x:v>پل اقتصاد واحد کل دوره</x:v>
      </x:c>
      <x:c r="B18" s="27" t="str">
        <x:v>پل اقتصاد واحد کل دوره</x:v>
      </x:c>
      <x:c r="C18" s="27" t="str">
        <x:v>پل اقتصاد واحد کل دوره</x:v>
      </x:c>
      <x:c r="D18" s="27" t="str">
        <x:v>پل اقتصاد واحد کل دوره</x:v>
      </x:c>
      <x:c r="E18" s="27" t="str">
        <x:v>پل اقتصاد واحد کل دوره</x:v>
      </x:c>
      <x:c r="F18" s="28" t="str">
        <x:v>پل اقتصاد واحد کل دوره</x:v>
      </x:c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99" t="str">
        <x:f>TEXT('تقویم نقد'!B8,"dd-mmm")</x:f>
        <x:v>14-Sep</x:v>
      </x:c>
      <x:c r="R18" s="76" t="n">
        <x:f>'تقویم نقد'!B24</x:f>
        <x:v>207000000</x:v>
      </x:c>
      <x:c r="S18" s="3"/>
    </x:row>
    <x:row r="19" ht="15" hidden="0" customHeight="1">
      <x:c r="A19" s="41" t="str">
        <x:v>شاخص</x:v>
      </x:c>
      <x:c r="B19" s="41" t="str">
        <x:v>کل دوره</x:v>
      </x:c>
      <x:c r="C19" s="41" t="str">
        <x:v>به‌ازای سفارش</x:v>
      </x:c>
      <x:c r="D19" s="41" t="str">
        <x:v>درصد فروش خالص</x:v>
      </x:c>
      <x:c r="E19" s="41" t="str">
        <x:v>تعریف</x:v>
      </x:c>
      <x:c r="F19" s="41" t="str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99" t="str">
        <x:f>TEXT('تقویم نقد'!C8,"dd-mmm")</x:f>
        <x:v>21-Sep</x:v>
      </x:c>
      <x:c r="R19" s="76" t="n">
        <x:f>'تقویم نقد'!C24</x:f>
        <x:v>217000000</x:v>
      </x:c>
      <x:c r="S19" s="3"/>
    </x:row>
    <x:row r="20" ht="15" hidden="0" customHeight="1">
      <x:c r="A20" s="16" t="str">
        <x:v>فروش ناخالص</x:v>
      </x:c>
      <x:c r="B20" s="82" t="n">
        <x:f>IF(COUNTA('محصول و کانال'!$C$9:$C$88)=0,"n.a.",SUM('محصول و کانال'!$P$9:$P$88))</x:f>
        <x:v>3720000000</x:v>
      </x:c>
      <x:c r="C20" s="82" t="n">
        <x:f>IF(OR(NOT(ISNUMBER(B20)),SUM('محصول و کانال'!$K$9:$K$88)=0),"n.a.",B20/SUM('محصول و کانال'!$K$9:$K$88))</x:f>
        <x:v>1099940.863394441</x:v>
      </x:c>
      <x:c r="D20" s="83" t="n">
        <x:f>IF(OR(NOT(ISNUMBER(B20)),NOT(ISNUMBER($B$22)),$B$22=0),"n.a.",B20/$B$22)</x:f>
        <x:v>1.1111111111111112</x:v>
      </x:c>
      <x:c r="E20" s="232" t="str">
        <x:v>قیمت فهرست ضربدر واحد</x:v>
      </x:c>
      <x:c r="F20" s="232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99" t="str">
        <x:f>TEXT('تقویم نقد'!D8,"dd-mmm")</x:f>
        <x:v>28-Sep</x:v>
      </x:c>
      <x:c r="R20" s="76" t="n">
        <x:f>'تقویم نقد'!D24</x:f>
        <x:v>229000000</x:v>
      </x:c>
      <x:c r="S20" s="3"/>
    </x:row>
    <x:row r="21" ht="15" hidden="0" customHeight="1">
      <x:c r="A21" s="16" t="str">
        <x:v>تخفیف و بازپرداخت</x:v>
      </x:c>
      <x:c r="B21" s="82" t="n">
        <x:f>IF(COUNTA('محصول و کانال'!$C$9:$C$88)=0,"n.a.",SUM('محصول و کانال'!$N$9:$N$88)+SUM('محصول و کانال'!$O$9:$O$88))</x:f>
        <x:v>372000000</x:v>
      </x:c>
      <x:c r="C21" s="82" t="n">
        <x:f>IF(OR(NOT(ISNUMBER(B21)),SUM('محصول و کانال'!$K$9:$K$88)=0),"n.a.",B21/SUM('محصول و کانال'!$K$9:$K$88))</x:f>
        <x:v>109994.08633944411</x:v>
      </x:c>
      <x:c r="D21" s="83" t="n">
        <x:f>IF(OR(NOT(ISNUMBER(B21)),NOT(ISNUMBER($B$22)),$B$22=0),"n.a.",B21/$B$22)</x:f>
        <x:v>0.1111111111111111</x:v>
      </x:c>
      <x:c r="E21" s="232" t="str">
        <x:v>تخفیف و مرجوعی از فروش</x:v>
      </x:c>
      <x:c r="F21" s="232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99" t="str">
        <x:f>TEXT('تقویم نقد'!E8,"dd-mmm")</x:f>
        <x:v>05-Oct</x:v>
      </x:c>
      <x:c r="R21" s="76" t="n">
        <x:f>'تقویم نقد'!E24</x:f>
        <x:v>240000000</x:v>
      </x:c>
      <x:c r="S21" s="3"/>
    </x:row>
    <x:row r="22" ht="15" hidden="0" customHeight="1">
      <x:c r="A22" s="219" t="str">
        <x:v>فروش خالص</x:v>
      </x:c>
      <x:c r="B22" s="122" t="n">
        <x:f>IF(COUNTA('محصول و کانال'!$C$9:$C$88)=0,"n.a.",SUM('محصول و کانال'!$Q$9:$Q$88))</x:f>
        <x:v>3348000000</x:v>
      </x:c>
      <x:c r="C22" s="122" t="n">
        <x:f>IF(OR(NOT(ISNUMBER(B22)),SUM('محصول و کانال'!$K$9:$K$88)=0),"n.a.",B22/SUM('محصول و کانال'!$K$9:$K$88))</x:f>
        <x:v>989946.777054997</x:v>
      </x:c>
      <x:c r="D22" s="220" t="n">
        <x:f>IF(OR(NOT(ISNUMBER(B22)),NOT(ISNUMBER($B$22)),$B$22=0),"n.a.",B22/$B$22)</x:f>
        <x:v>1</x:v>
      </x:c>
      <x:c r="E22" s="233" t="str">
        <x:v>فروش پس از تخفیف و بازپرداخت</x:v>
      </x:c>
      <x:c r="F22" s="23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99" t="str">
        <x:f>TEXT('تقویم نقد'!F8,"dd-mmm")</x:f>
        <x:v>12-Oct</x:v>
      </x:c>
      <x:c r="R22" s="76" t="n">
        <x:f>'تقویم نقد'!F24</x:f>
        <x:v>155000000</x:v>
      </x:c>
      <x:c r="S22" s="3"/>
    </x:row>
    <x:row r="23" ht="15" hidden="0" customHeight="1">
      <x:c r="A23" s="16" t="str">
        <x:v>COGS</x:v>
      </x:c>
      <x:c r="B23" s="82" t="n">
        <x:f>IF(COUNTA('محصول و کانال'!$C$9:$C$88)=0,"n.a.",SUM('محصول و کانال'!$S$9:$S$88))</x:f>
        <x:v>1674000000</x:v>
      </x:c>
      <x:c r="C23" s="82" t="n">
        <x:f>IF(OR(NOT(ISNUMBER(B23)),SUM('محصول و کانال'!$K$9:$K$88)=0),"n.a.",B23/SUM('محصول و کانال'!$K$9:$K$88))</x:f>
        <x:v>494973.3885274985</x:v>
      </x:c>
      <x:c r="D23" s="83" t="n">
        <x:f>IF(OR(NOT(ISNUMBER(B23)),NOT(ISNUMBER($B$22)),$B$22=0),"n.a.",B23/$B$22)</x:f>
        <x:v>0.5</x:v>
      </x:c>
      <x:c r="E23" s="232" t="str">
        <x:v>بهای واحد سالم فروخته‌شده</x:v>
      </x:c>
      <x:c r="F23" s="232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99" t="str">
        <x:f>TEXT('تقویم نقد'!G8,"dd-mmm")</x:f>
        <x:v>19-Oct</x:v>
      </x:c>
      <x:c r="R23" s="76" t="n">
        <x:f>'تقویم نقد'!G24</x:f>
        <x:v>171000000</x:v>
      </x:c>
      <x:c r="S23" s="3"/>
    </x:row>
    <x:row r="24" ht="15" hidden="0" customHeight="1">
      <x:c r="A24" s="16" t="str">
        <x:v>سود ناخالص</x:v>
      </x:c>
      <x:c r="B24" s="82" t="n">
        <x:f>IF(NOT(ISNUMBER(B22)),"n.a.",B22-B23)</x:f>
        <x:v>1674000000</x:v>
      </x:c>
      <x:c r="C24" s="82" t="n">
        <x:f>IF(OR(NOT(ISNUMBER(B24)),SUM('محصول و کانال'!$K$9:$K$88)=0),"n.a.",B24/SUM('محصول و کانال'!$K$9:$K$88))</x:f>
        <x:v>494973.3885274985</x:v>
      </x:c>
      <x:c r="D24" s="83" t="n">
        <x:f>IF(OR(NOT(ISNUMBER(B24)),NOT(ISNUMBER($B$22)),$B$22=0),"n.a.",B24/$B$22)</x:f>
        <x:v>0.5</x:v>
      </x:c>
      <x:c r="E24" s="232" t="str">
        <x:v>فروش خالص منهای COGS</x:v>
      </x:c>
      <x:c r="F24" s="232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99" t="str">
        <x:f>TEXT('تقویم نقد'!H8,"dd-mmm")</x:f>
        <x:v>26-Oct</x:v>
      </x:c>
      <x:c r="R24" s="76" t="n">
        <x:f>'تقویم نقد'!H24</x:f>
        <x:v>188000000</x:v>
      </x:c>
      <x:c r="S24" s="3"/>
    </x:row>
    <x:row r="25" ht="15" hidden="0" customHeight="1">
      <x:c r="A25" s="16" t="str">
        <x:v>متغیر کانال، انجام سفارش و خدمت</x:v>
      </x:c>
      <x:c r="B25" s="82" t="n">
        <x:f>IF(COUNTA('محصول و کانال'!$C$9:$C$88)=0,"n.a.",SUM('محصول و کانال'!$U$9:$U$88,'محصول و کانال'!$V$9:$V$88,'محصول و کانال'!$W$9:$W$88,'محصول و کانال'!$X$9:$X$88,'محصول و کانال'!$Z$9:$Z$88))</x:f>
        <x:v>632400000</x:v>
      </x:c>
      <x:c r="C25" s="82" t="n">
        <x:f>IF(OR(NOT(ISNUMBER(B25)),SUM('محصول و کانال'!$K$9:$K$88)=0),"n.a.",B25/SUM('محصول و کانال'!$K$9:$K$88))</x:f>
        <x:v>186989.946777055</x:v>
      </x:c>
      <x:c r="D25" s="83" t="n">
        <x:f>IF(OR(NOT(ISNUMBER(B25)),NOT(ISNUMBER($B$22)),$B$22=0),"n.a.",B25/$B$22)</x:f>
        <x:v>0.18888888888888888</x:v>
      </x:c>
      <x:c r="E25" s="232" t="str">
        <x:v>کارمزد، حمل، پرداخت، خدمت و سایر متغیر</x:v>
      </x:c>
      <x:c r="F25" s="232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99" t="str">
        <x:f>TEXT('تقویم نقد'!I8,"dd-mmm")</x:f>
        <x:v>02-Nov</x:v>
      </x:c>
      <x:c r="R25" s="76" t="n">
        <x:f>'تقویم نقد'!I24</x:f>
        <x:v>203000000</x:v>
      </x:c>
      <x:c r="S25" s="3"/>
    </x:row>
    <x:row r="26" ht="15" hidden="0" customHeight="1">
      <x:c r="A26" s="17" t="str">
        <x:v>CM1</x:v>
      </x:c>
      <x:c r="B26" s="72" t="n">
        <x:f>IF(COUNTA('محصول و کانال'!$C$9:$C$88)=0,"n.a.",SUM('محصول و کانال'!$AA$9:$AA$88))</x:f>
        <x:v>1041600000</x:v>
      </x:c>
      <x:c r="C26" s="72" t="n">
        <x:f>IF(OR(NOT(ISNUMBER(B26)),SUM('محصول و کانال'!$K$9:$K$88)=0),"n.a.",B26/SUM('محصول و کانال'!$K$9:$K$88))</x:f>
        <x:v>307983.44175044354</x:v>
      </x:c>
      <x:c r="D26" s="221" t="n">
        <x:f>IF(OR(NOT(ISNUMBER(B26)),NOT(ISNUMBER($B$22)),$B$22=0),"n.a.",B26/$B$22)</x:f>
        <x:v>0.3111111111111111</x:v>
      </x:c>
      <x:c r="E26" s="234" t="str">
        <x:v>مشارکت پیش از جذب</x:v>
      </x:c>
      <x:c r="F26" s="234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99" t="str">
        <x:f>TEXT('تقویم نقد'!J8,"dd-mmm")</x:f>
        <x:v>09-Nov</x:v>
      </x:c>
      <x:c r="R26" s="76" t="n">
        <x:f>'تقویم نقد'!J24</x:f>
        <x:v>122000000</x:v>
      </x:c>
      <x:c r="S26" s="3"/>
    </x:row>
    <x:row r="27" ht="15" hidden="0" customHeight="1">
      <x:c r="A27" s="16" t="str">
        <x:v>هزینه جذب</x:v>
      </x:c>
      <x:c r="B27" s="82" t="n">
        <x:f>IF(COUNTA('محصول و کانال'!$C$9:$C$88)=0,"n.a.",SUM('محصول و کانال'!$Y$9:$Y$88))</x:f>
        <x:v>446400000</x:v>
      </x:c>
      <x:c r="C27" s="82" t="n">
        <x:f>IF(OR(NOT(ISNUMBER(B27)),SUM('محصول و کانال'!$K$9:$K$88)=0),"n.a.",B27/SUM('محصول و کانال'!$K$9:$K$88))</x:f>
        <x:v>131992.90360733293</x:v>
      </x:c>
      <x:c r="D27" s="83" t="n">
        <x:f>IF(OR(NOT(ISNUMBER(B27)),NOT(ISNUMBER($B$22)),$B$22=0),"n.a.",B27/$B$22)</x:f>
        <x:v>0.13333333333333333</x:v>
      </x:c>
      <x:c r="E27" s="232" t="str">
        <x:v>هزینه جذب قابل انتساب</x:v>
      </x:c>
      <x:c r="F27" s="232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99" t="str">
        <x:f>TEXT('تقویم نقد'!K8,"dd-mmm")</x:f>
        <x:v>16-Nov</x:v>
      </x:c>
      <x:c r="R27" s="76" t="n">
        <x:f>'تقویم نقد'!K24</x:f>
        <x:v>142000000</x:v>
      </x:c>
      <x:c r="S27" s="3"/>
    </x:row>
    <x:row r="28" ht="15" hidden="0" customHeight="1">
      <x:c r="A28" s="225" t="str">
        <x:v>CM2</x:v>
      </x:c>
      <x:c r="B28" s="124" t="n">
        <x:f>IF(COUNTA('محصول و کانال'!$C$9:$C$88)=0,"n.a.",SUM('محصول و کانال'!$AB$9:$AB$88))</x:f>
        <x:v>595200000</x:v>
      </x:c>
      <x:c r="C28" s="124" t="n">
        <x:f>IF(OR(NOT(ISNUMBER(B28)),SUM('محصول و کانال'!$K$9:$K$88)=0),"n.a.",B28/SUM('محصول و کانال'!$K$9:$K$88))</x:f>
        <x:v>175990.53814311058</x:v>
      </x:c>
      <x:c r="D28" s="226" t="n">
        <x:f>IF(OR(NOT(ISNUMBER(B28)),NOT(ISNUMBER($B$22)),$B$22=0),"n.a.",B28/$B$22)</x:f>
        <x:v>0.17777777777777778</x:v>
      </x:c>
      <x:c r="E28" s="235" t="str">
        <x:v>مشارکت پس از جذب</x:v>
      </x:c>
      <x:c r="F28" s="235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99" t="str">
        <x:f>TEXT('تقویم نقد'!L8,"dd-mmm")</x:f>
        <x:v>23-Nov</x:v>
      </x:c>
      <x:c r="R28" s="76" t="n">
        <x:f>'تقویم نقد'!L24</x:f>
        <x:v>163000000</x:v>
      </x:c>
      <x:c r="S28" s="3"/>
    </x:row>
    <x:row r="29" ht="15" hidden="0" customHeight="1">
      <x:c r="A29" s="16" t="str">
        <x:v>هزینه ثابت دوره</x:v>
      </x:c>
      <x:c r="B29" s="82" t="n">
        <x:f>'فرض‌ها و منابع'!$B$11*'فرض‌ها و منابع'!$B$24</x:f>
        <x:v>384000000</x:v>
      </x:c>
      <x:c r="C29" s="82" t="n">
        <x:f>IF(OR(NOT(ISNUMBER(B29)),SUM('محصول و کانال'!$K$9:$K$88)=0),"n.a.",B29/SUM('محصول و کانال'!$K$9:$K$88))</x:f>
        <x:v>113542.28267297457</x:v>
      </x:c>
      <x:c r="D29" s="83" t="n">
        <x:f>IF(OR(NOT(ISNUMBER(B29)),NOT(ISNUMBER($B$22)),$B$22=0),"n.a.",B29/$B$22)</x:f>
        <x:v>0.11469534050179211</x:v>
      </x:c>
      <x:c r="E29" s="232" t="str">
        <x:v>هزینه ثابت ماهانه ضربدر افق</x:v>
      </x:c>
      <x:c r="F29" s="232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99" t="str">
        <x:f>TEXT('تقویم نقد'!M8,"dd-mmm")</x:f>
        <x:v>30-Nov</x:v>
      </x:c>
      <x:c r="R29" s="76" t="n">
        <x:f>'تقویم نقد'!M24</x:f>
        <x:v>182000000</x:v>
      </x:c>
      <x:c r="S29" s="3"/>
    </x:row>
    <x:row r="30" ht="15" hidden="0" customHeight="1">
      <x:c r="A30" s="230" t="str">
        <x:v>نتیجه عملیاتی مدیریتی</x:v>
      </x:c>
      <x:c r="B30" s="126" t="n">
        <x:f>IF(NOT(ISNUMBER(B28)),"n.a.",B28-B29)</x:f>
        <x:v>211200000</x:v>
      </x:c>
      <x:c r="C30" s="126" t="n">
        <x:f>IF(OR(NOT(ISNUMBER(B30)),SUM('محصول و کانال'!$K$9:$K$88)=0),"n.a.",B30/SUM('محصول و کانال'!$K$9:$K$88))</x:f>
        <x:v>62448.25547013601</x:v>
      </x:c>
      <x:c r="D30" s="231" t="n">
        <x:f>IF(OR(NOT(ISNUMBER(B30)),NOT(ISNUMBER($B$22)),$B$22=0),"n.a.",B30/$B$22)</x:f>
        <x:v>0.06308243727598567</x:v>
      </x:c>
      <x:c r="E30" s="236" t="str">
        <x:v>CM2 منهای هزینه ثابت</x:v>
      </x:c>
      <x:c r="F30" s="236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99" t="str">
        <x:f>TEXT('تقویم نقد'!N8,"dd-mmm")</x:f>
        <x:v>07-Dec</x:v>
      </x:c>
      <x:c r="R30" s="76" t="n">
        <x:f>'تقویم نقد'!N24</x:f>
        <x:v>206000000</x:v>
      </x:c>
      <x:c r="S30" s="3"/>
    </x:row>
    <x:row r="31" ht="15" hidden="0" customHeight="1">
      <x:c r="A31" s="16" t="str">
        <x:v>نقطه سربه‌سر</x:v>
      </x:c>
      <x:c r="B31" s="82" t="n">
        <x:f>IF(OR(NOT(ISNUMBER(B28)),SUM('محصول و کانال'!$K$9:$K$88)=0,B28&lt;=0),"n.a.",B29/(B28/SUM('محصول و کانال'!$K$9:$K$88)))</x:f>
        <x:v>2181.935483870968</x:v>
      </x:c>
      <x:c r="C31" s="16" t="str"/>
      <x:c r="D31" s="16" t="str"/>
      <x:c r="E31" s="232" t="str">
        <x:v>سفارش لازم برای پوشش هزینه ثابت</x:v>
      </x:c>
      <x:c r="F31" s="232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15" hidden="0" customHeight="1">
      <x:c r="A32" s="16" t="str">
        <x:v>حاشیه ایمنی سفارش</x:v>
      </x:c>
      <x:c r="B32" s="82" t="n">
        <x:f>IF(NOT(ISNUMBER(B31)),"n.a.",SUM('محصول و کانال'!$K$9:$K$88)-B31)</x:f>
        <x:v>1200.0645161290322</x:v>
      </x:c>
      <x:c r="C32" s="16" t="str"/>
      <x:c r="D32" s="16" t="str"/>
      <x:c r="E32" s="232" t="str">
        <x:v>سفارش واقعی منهای سربه‌سر</x:v>
      </x:c>
      <x:c r="F32" s="232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15" hidden="0" customHeight="1">
      <x:c r="A33" s="16" t="str">
        <x:v>CAC مشتری جدید</x:v>
      </x:c>
      <x:c r="B33" s="82" t="n">
        <x:f>IF(SUM('محصول و کانال'!$L$9:$L$88)=0,"n.a.",B27/SUM('محصول و کانال'!$L$9:$L$88))</x:f>
        <x:v>188593.1558935361</x:v>
      </x:c>
      <x:c r="C33" s="16" t="str"/>
      <x:c r="D33" s="16" t="str"/>
      <x:c r="E33" s="232" t="str">
        <x:v>هزینه جذب تقسیم بر مشتری جدید</x:v>
      </x:c>
      <x:c r="F33" s="232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15" hidden="0" customHeight="1">
      <x:c r="A34" s="16" t="str">
        <x:v>AOV</x:v>
      </x:c>
      <x:c r="B34" s="82" t="n">
        <x:f>IF(SUM('محصول و کانال'!$K$9:$K$88)=0,"n.a.",B22/SUM('محصول و کانال'!$K$9:$K$88))</x:f>
        <x:v>989946.777054997</x:v>
      </x:c>
      <x:c r="C34" s="16" t="str"/>
      <x:c r="D34" s="16" t="str"/>
      <x:c r="E34" s="232" t="str">
        <x:v>فروش خالص تقسیم بر سفارش پرداخت‌شده</x:v>
      </x:c>
      <x:c r="F34" s="232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15" hidden="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15" hidden="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15" hidden="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15" hidden="0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15" hidden="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15" hidden="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15" hidden="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15" hidden="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15" hidden="0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15" hidden="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15" hidden="0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15" hidden="0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15" hidden="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15" hidden="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15" hidden="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15" hidden="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15" hidden="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15" hidden="0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15" hidden="0" customHeight="1">
      <x:c r="A53" s="26" t="str">
        <x:v>نتایج ماهانه</x:v>
      </x:c>
      <x:c r="B53" s="27" t="str">
        <x:v>نتایج ماهانه</x:v>
      </x:c>
      <x:c r="C53" s="27" t="str">
        <x:v>نتایج ماهانه</x:v>
      </x:c>
      <x:c r="D53" s="27" t="str">
        <x:v>نتایج ماهانه</x:v>
      </x:c>
      <x:c r="E53" s="27" t="str">
        <x:v>نتایج ماهانه</x:v>
      </x:c>
      <x:c r="F53" s="27" t="str">
        <x:v>نتایج ماهانه</x:v>
      </x:c>
      <x:c r="G53" s="27" t="str">
        <x:v>نتایج ماهانه</x:v>
      </x:c>
      <x:c r="H53" s="27" t="str">
        <x:v>نتایج ماهانه</x:v>
      </x:c>
      <x:c r="I53" s="27" t="str">
        <x:v>نتایج ماهانه</x:v>
      </x:c>
      <x:c r="J53" s="27" t="str">
        <x:v>نتایج ماهانه</x:v>
      </x:c>
      <x:c r="K53" s="27" t="str">
        <x:v>نتایج ماهانه</x:v>
      </x:c>
      <x:c r="L53" s="27" t="str">
        <x:v>نتایج ماهانه</x:v>
      </x:c>
      <x:c r="M53" s="27" t="str">
        <x:v>نتایج ماهانه</x:v>
      </x:c>
      <x:c r="N53" s="27" t="str">
        <x:v>نتایج ماهانه</x:v>
      </x:c>
      <x:c r="O53" s="28" t="str">
        <x:v>نتایج ماهانه</x:v>
      </x:c>
      <x:c r="P53" s="3"/>
      <x:c r="Q53" s="3"/>
      <x:c r="R53" s="3"/>
      <x:c r="S53" s="3"/>
    </x:row>
    <x:row r="54" ht="15" hidden="0" customHeight="1">
      <x:c r="A54" s="41" t="str">
        <x:v>شاخص</x:v>
      </x:c>
      <x:c r="B54" s="237" t="n">
        <x:f>'فرض‌ها و منابع'!$B$9</x:f>
        <x:v>46266</x:v>
      </x:c>
      <x:c r="C54" s="237" t="n">
        <x:f>EDATE(B54,1)</x:f>
        <x:v>46296</x:v>
      </x:c>
      <x:c r="D54" s="237" t="n">
        <x:f>EDATE(C54,1)</x:f>
        <x:v>46327</x:v>
      </x:c>
      <x:c r="E54" s="237" t="n">
        <x:f>EDATE(D54,1)</x:f>
        <x:v>46357</x:v>
      </x:c>
      <x:c r="F54" s="237" t="n">
        <x:f>EDATE(E54,1)</x:f>
        <x:v>46388</x:v>
      </x:c>
      <x:c r="G54" s="237" t="n">
        <x:f>EDATE(F54,1)</x:f>
        <x:v>46419</x:v>
      </x:c>
      <x:c r="H54" s="237" t="n">
        <x:f>EDATE(G54,1)</x:f>
        <x:v>46447</x:v>
      </x:c>
      <x:c r="I54" s="237" t="n">
        <x:f>EDATE(H54,1)</x:f>
        <x:v>46478</x:v>
      </x:c>
      <x:c r="J54" s="237" t="n">
        <x:f>EDATE(I54,1)</x:f>
        <x:v>46508</x:v>
      </x:c>
      <x:c r="K54" s="237" t="n">
        <x:f>EDATE(J54,1)</x:f>
        <x:v>46539</x:v>
      </x:c>
      <x:c r="L54" s="237" t="n">
        <x:f>EDATE(K54,1)</x:f>
        <x:v>46569</x:v>
      </x:c>
      <x:c r="M54" s="237" t="n">
        <x:f>EDATE(L54,1)</x:f>
        <x:v>46600</x:v>
      </x:c>
      <x:c r="N54" s="41" t="str">
        <x:v>کل دوره</x:v>
      </x:c>
      <x:c r="O54" s="41" t="str">
        <x:v>منبع</x:v>
      </x:c>
      <x:c r="P54" s="3"/>
      <x:c r="Q54" s="3"/>
      <x:c r="R54" s="3"/>
      <x:c r="S54" s="3"/>
    </x:row>
    <x:row r="55" ht="15" hidden="0" customHeight="1">
      <x:c r="A55" s="16" t="str">
        <x:v>فروش ناخالص</x:v>
      </x:c>
      <x:c r="B55" s="82" t="n">
        <x:f>IF(COUNTIFS('محصول و کانال'!$B$9:$B$88,B$54)=0,"n.a.",SUMIFS('محصول و کانال'!$P$9:$P$88,'محصول و کانال'!$B$9:$B$88,B$54))</x:f>
        <x:v>200000000</x:v>
      </x:c>
      <x:c r="C55" s="82" t="n">
        <x:f>IF(COUNTIFS('محصول و کانال'!$B$9:$B$88,C$54)=0,"n.a.",SUMIFS('محصول و کانال'!$P$9:$P$88,'محصول و کانال'!$B$9:$B$88,C$54))</x:f>
        <x:v>220000000</x:v>
      </x:c>
      <x:c r="D55" s="82" t="n">
        <x:f>IF(COUNTIFS('محصول و کانال'!$B$9:$B$88,D$54)=0,"n.a.",SUMIFS('محصول و کانال'!$P$9:$P$88,'محصول و کانال'!$B$9:$B$88,D$54))</x:f>
        <x:v>240000000</x:v>
      </x:c>
      <x:c r="E55" s="82" t="n">
        <x:f>IF(COUNTIFS('محصول و کانال'!$B$9:$B$88,E$54)=0,"n.a.",SUMIFS('محصول و کانال'!$P$9:$P$88,'محصول و کانال'!$B$9:$B$88,E$54))</x:f>
        <x:v>260000000</x:v>
      </x:c>
      <x:c r="F55" s="82" t="n">
        <x:f>IF(COUNTIFS('محصول و کانال'!$B$9:$B$88,F$54)=0,"n.a.",SUMIFS('محصول و کانال'!$P$9:$P$88,'محصول و کانال'!$B$9:$B$88,F$54))</x:f>
        <x:v>280000000</x:v>
      </x:c>
      <x:c r="G55" s="82" t="n">
        <x:f>IF(COUNTIFS('محصول و کانال'!$B$9:$B$88,G$54)=0,"n.a.",SUMIFS('محصول و کانال'!$P$9:$P$88,'محصول و کانال'!$B$9:$B$88,G$54))</x:f>
        <x:v>300000000</x:v>
      </x:c>
      <x:c r="H55" s="82" t="n">
        <x:f>IF(COUNTIFS('محصول و کانال'!$B$9:$B$88,H$54)=0,"n.a.",SUMIFS('محصول و کانال'!$P$9:$P$88,'محصول و کانال'!$B$9:$B$88,H$54))</x:f>
        <x:v>320000000</x:v>
      </x:c>
      <x:c r="I55" s="82" t="n">
        <x:f>IF(COUNTIFS('محصول و کانال'!$B$9:$B$88,I$54)=0,"n.a.",SUMIFS('محصول و کانال'!$P$9:$P$88,'محصول و کانال'!$B$9:$B$88,I$54))</x:f>
        <x:v>340000000</x:v>
      </x:c>
      <x:c r="J55" s="82" t="n">
        <x:f>IF(COUNTIFS('محصول و کانال'!$B$9:$B$88,J$54)=0,"n.a.",SUMIFS('محصول و کانال'!$P$9:$P$88,'محصول و کانال'!$B$9:$B$88,J$54))</x:f>
        <x:v>360000000</x:v>
      </x:c>
      <x:c r="K55" s="82" t="n">
        <x:f>IF(COUNTIFS('محصول و کانال'!$B$9:$B$88,K$54)=0,"n.a.",SUMIFS('محصول و کانال'!$P$9:$P$88,'محصول و کانال'!$B$9:$B$88,K$54))</x:f>
        <x:v>380000000</x:v>
      </x:c>
      <x:c r="L55" s="82" t="n">
        <x:f>IF(COUNTIFS('محصول و کانال'!$B$9:$B$88,L$54)=0,"n.a.",SUMIFS('محصول و کانال'!$P$9:$P$88,'محصول و کانال'!$B$9:$B$88,L$54))</x:f>
        <x:v>400000000</x:v>
      </x:c>
      <x:c r="M55" s="82" t="n">
        <x:f>IF(COUNTIFS('محصول و کانال'!$B$9:$B$88,M$54)=0,"n.a.",SUMIFS('محصول و کانال'!$P$9:$P$88,'محصول و کانال'!$B$9:$B$88,M$54))</x:f>
        <x:v>420000000</x:v>
      </x:c>
      <x:c r="N55" s="82" t="n">
        <x:f>SUM(B55:M55)</x:f>
        <x:v>3720000000</x:v>
      </x:c>
      <x:c r="O55" s="16" t="str">
        <x:v>محصول و کانال</x:v>
      </x:c>
      <x:c r="P55" s="3"/>
      <x:c r="Q55" s="3"/>
      <x:c r="R55" s="3"/>
      <x:c r="S55" s="3"/>
    </x:row>
    <x:row r="56" ht="15" hidden="0" customHeight="1">
      <x:c r="A56" s="16" t="str">
        <x:v>تخفیف و بازپرداخت</x:v>
      </x:c>
      <x:c r="B56" s="82" t="n">
        <x:f>IF(COUNTIFS('محصول و کانال'!$B$9:$B$88,B$54)=0,"n.a.",SUMIFS('محصول و کانال'!$N$9:$N$88,'محصول و کانال'!$B$9:$B$88,B$54)+SUMIFS('محصول و کانال'!$O$9:$O$88,'محصول و کانال'!$B$9:$B$88,B$54))</x:f>
        <x:v>20000000</x:v>
      </x:c>
      <x:c r="C56" s="82" t="n">
        <x:f>IF(COUNTIFS('محصول و کانال'!$B$9:$B$88,C$54)=0,"n.a.",SUMIFS('محصول و کانال'!$N$9:$N$88,'محصول و کانال'!$B$9:$B$88,C$54)+SUMIFS('محصول و کانال'!$O$9:$O$88,'محصول و کانال'!$B$9:$B$88,C$54))</x:f>
        <x:v>22000000</x:v>
      </x:c>
      <x:c r="D56" s="82" t="n">
        <x:f>IF(COUNTIFS('محصول و کانال'!$B$9:$B$88,D$54)=0,"n.a.",SUMIFS('محصول و کانال'!$N$9:$N$88,'محصول و کانال'!$B$9:$B$88,D$54)+SUMIFS('محصول و کانال'!$O$9:$O$88,'محصول و کانال'!$B$9:$B$88,D$54))</x:f>
        <x:v>24000000</x:v>
      </x:c>
      <x:c r="E56" s="82" t="n">
        <x:f>IF(COUNTIFS('محصول و کانال'!$B$9:$B$88,E$54)=0,"n.a.",SUMIFS('محصول و کانال'!$N$9:$N$88,'محصول و کانال'!$B$9:$B$88,E$54)+SUMIFS('محصول و کانال'!$O$9:$O$88,'محصول و کانال'!$B$9:$B$88,E$54))</x:f>
        <x:v>26000000</x:v>
      </x:c>
      <x:c r="F56" s="82" t="n">
        <x:f>IF(COUNTIFS('محصول و کانال'!$B$9:$B$88,F$54)=0,"n.a.",SUMIFS('محصول و کانال'!$N$9:$N$88,'محصول و کانال'!$B$9:$B$88,F$54)+SUMIFS('محصول و کانال'!$O$9:$O$88,'محصول و کانال'!$B$9:$B$88,F$54))</x:f>
        <x:v>28000000</x:v>
      </x:c>
      <x:c r="G56" s="82" t="n">
        <x:f>IF(COUNTIFS('محصول و کانال'!$B$9:$B$88,G$54)=0,"n.a.",SUMIFS('محصول و کانال'!$N$9:$N$88,'محصول و کانال'!$B$9:$B$88,G$54)+SUMIFS('محصول و کانال'!$O$9:$O$88,'محصول و کانال'!$B$9:$B$88,G$54))</x:f>
        <x:v>30000000</x:v>
      </x:c>
      <x:c r="H56" s="82" t="n">
        <x:f>IF(COUNTIFS('محصول و کانال'!$B$9:$B$88,H$54)=0,"n.a.",SUMIFS('محصول و کانال'!$N$9:$N$88,'محصول و کانال'!$B$9:$B$88,H$54)+SUMIFS('محصول و کانال'!$O$9:$O$88,'محصول و کانال'!$B$9:$B$88,H$54))</x:f>
        <x:v>32000000</x:v>
      </x:c>
      <x:c r="I56" s="82" t="n">
        <x:f>IF(COUNTIFS('محصول و کانال'!$B$9:$B$88,I$54)=0,"n.a.",SUMIFS('محصول و کانال'!$N$9:$N$88,'محصول و کانال'!$B$9:$B$88,I$54)+SUMIFS('محصول و کانال'!$O$9:$O$88,'محصول و کانال'!$B$9:$B$88,I$54))</x:f>
        <x:v>34000000</x:v>
      </x:c>
      <x:c r="J56" s="82" t="n">
        <x:f>IF(COUNTIFS('محصول و کانال'!$B$9:$B$88,J$54)=0,"n.a.",SUMIFS('محصول و کانال'!$N$9:$N$88,'محصول و کانال'!$B$9:$B$88,J$54)+SUMIFS('محصول و کانال'!$O$9:$O$88,'محصول و کانال'!$B$9:$B$88,J$54))</x:f>
        <x:v>36000000</x:v>
      </x:c>
      <x:c r="K56" s="82" t="n">
        <x:f>IF(COUNTIFS('محصول و کانال'!$B$9:$B$88,K$54)=0,"n.a.",SUMIFS('محصول و کانال'!$N$9:$N$88,'محصول و کانال'!$B$9:$B$88,K$54)+SUMIFS('محصول و کانال'!$O$9:$O$88,'محصول و کانال'!$B$9:$B$88,K$54))</x:f>
        <x:v>38000000</x:v>
      </x:c>
      <x:c r="L56" s="82" t="n">
        <x:f>IF(COUNTIFS('محصول و کانال'!$B$9:$B$88,L$54)=0,"n.a.",SUMIFS('محصول و کانال'!$N$9:$N$88,'محصول و کانال'!$B$9:$B$88,L$54)+SUMIFS('محصول و کانال'!$O$9:$O$88,'محصول و کانال'!$B$9:$B$88,L$54))</x:f>
        <x:v>40000000</x:v>
      </x:c>
      <x:c r="M56" s="82" t="n">
        <x:f>IF(COUNTIFS('محصول و کانال'!$B$9:$B$88,M$54)=0,"n.a.",SUMIFS('محصول و کانال'!$N$9:$N$88,'محصول و کانال'!$B$9:$B$88,M$54)+SUMIFS('محصول و کانال'!$O$9:$O$88,'محصول و کانال'!$B$9:$B$88,M$54))</x:f>
        <x:v>42000000</x:v>
      </x:c>
      <x:c r="N56" s="82" t="n">
        <x:f>SUM(B56:M56)</x:f>
        <x:v>372000000</x:v>
      </x:c>
      <x:c r="O56" s="16" t="str">
        <x:v>محصول و کانال</x:v>
      </x:c>
      <x:c r="P56" s="3"/>
      <x:c r="Q56" s="3"/>
      <x:c r="R56" s="3"/>
      <x:c r="S56" s="3"/>
    </x:row>
    <x:row r="57" ht="15" hidden="0" customHeight="1">
      <x:c r="A57" s="219" t="str">
        <x:v>فروش خالص</x:v>
      </x:c>
      <x:c r="B57" s="122" t="n">
        <x:f>IF(COUNTIFS('محصول و کانال'!$B$9:$B$88,B$54)=0,"n.a.",SUMIFS('محصول و کانال'!$Q$9:$Q$88,'محصول و کانال'!$B$9:$B$88,B$54))</x:f>
        <x:v>180000000</x:v>
      </x:c>
      <x:c r="C57" s="122" t="n">
        <x:f>IF(COUNTIFS('محصول و کانال'!$B$9:$B$88,C$54)=0,"n.a.",SUMIFS('محصول و کانال'!$Q$9:$Q$88,'محصول و کانال'!$B$9:$B$88,C$54))</x:f>
        <x:v>198000000</x:v>
      </x:c>
      <x:c r="D57" s="122" t="n">
        <x:f>IF(COUNTIFS('محصول و کانال'!$B$9:$B$88,D$54)=0,"n.a.",SUMIFS('محصول و کانال'!$Q$9:$Q$88,'محصول و کانال'!$B$9:$B$88,D$54))</x:f>
        <x:v>216000000</x:v>
      </x:c>
      <x:c r="E57" s="122" t="n">
        <x:f>IF(COUNTIFS('محصول و کانال'!$B$9:$B$88,E$54)=0,"n.a.",SUMIFS('محصول و کانال'!$Q$9:$Q$88,'محصول و کانال'!$B$9:$B$88,E$54))</x:f>
        <x:v>234000000</x:v>
      </x:c>
      <x:c r="F57" s="122" t="n">
        <x:f>IF(COUNTIFS('محصول و کانال'!$B$9:$B$88,F$54)=0,"n.a.",SUMIFS('محصول و کانال'!$Q$9:$Q$88,'محصول و کانال'!$B$9:$B$88,F$54))</x:f>
        <x:v>252000000</x:v>
      </x:c>
      <x:c r="G57" s="122" t="n">
        <x:f>IF(COUNTIFS('محصول و کانال'!$B$9:$B$88,G$54)=0,"n.a.",SUMIFS('محصول و کانال'!$Q$9:$Q$88,'محصول و کانال'!$B$9:$B$88,G$54))</x:f>
        <x:v>270000000</x:v>
      </x:c>
      <x:c r="H57" s="122" t="n">
        <x:f>IF(COUNTIFS('محصول و کانال'!$B$9:$B$88,H$54)=0,"n.a.",SUMIFS('محصول و کانال'!$Q$9:$Q$88,'محصول و کانال'!$B$9:$B$88,H$54))</x:f>
        <x:v>288000000</x:v>
      </x:c>
      <x:c r="I57" s="122" t="n">
        <x:f>IF(COUNTIFS('محصول و کانال'!$B$9:$B$88,I$54)=0,"n.a.",SUMIFS('محصول و کانال'!$Q$9:$Q$88,'محصول و کانال'!$B$9:$B$88,I$54))</x:f>
        <x:v>306000000</x:v>
      </x:c>
      <x:c r="J57" s="122" t="n">
        <x:f>IF(COUNTIFS('محصول و کانال'!$B$9:$B$88,J$54)=0,"n.a.",SUMIFS('محصول و کانال'!$Q$9:$Q$88,'محصول و کانال'!$B$9:$B$88,J$54))</x:f>
        <x:v>324000000</x:v>
      </x:c>
      <x:c r="K57" s="122" t="n">
        <x:f>IF(COUNTIFS('محصول و کانال'!$B$9:$B$88,K$54)=0,"n.a.",SUMIFS('محصول و کانال'!$Q$9:$Q$88,'محصول و کانال'!$B$9:$B$88,K$54))</x:f>
        <x:v>342000000</x:v>
      </x:c>
      <x:c r="L57" s="122" t="n">
        <x:f>IF(COUNTIFS('محصول و کانال'!$B$9:$B$88,L$54)=0,"n.a.",SUMIFS('محصول و کانال'!$Q$9:$Q$88,'محصول و کانال'!$B$9:$B$88,L$54))</x:f>
        <x:v>360000000</x:v>
      </x:c>
      <x:c r="M57" s="122" t="n">
        <x:f>IF(COUNTIFS('محصول و کانال'!$B$9:$B$88,M$54)=0,"n.a.",SUMIFS('محصول و کانال'!$Q$9:$Q$88,'محصول و کانال'!$B$9:$B$88,M$54))</x:f>
        <x:v>378000000</x:v>
      </x:c>
      <x:c r="N57" s="122" t="n">
        <x:f>SUM(B57:M57)</x:f>
        <x:v>3348000000</x:v>
      </x:c>
      <x:c r="O57" s="219" t="str">
        <x:v>محصول و کانال</x:v>
      </x:c>
      <x:c r="P57" s="3"/>
      <x:c r="Q57" s="3"/>
      <x:c r="R57" s="3"/>
      <x:c r="S57" s="3"/>
    </x:row>
    <x:row r="58" ht="15" hidden="0" customHeight="1">
      <x:c r="A58" s="16" t="str">
        <x:v>COGS</x:v>
      </x:c>
      <x:c r="B58" s="82" t="n">
        <x:f>IF(COUNTIFS('محصول و کانال'!$B$9:$B$88,B$54)=0,"n.a.",SUMIFS('محصول و کانال'!$S$9:$S$88,'محصول و کانال'!$B$9:$B$88,B$54))</x:f>
        <x:v>90000000</x:v>
      </x:c>
      <x:c r="C58" s="82" t="n">
        <x:f>IF(COUNTIFS('محصول و کانال'!$B$9:$B$88,C$54)=0,"n.a.",SUMIFS('محصول و کانال'!$S$9:$S$88,'محصول و کانال'!$B$9:$B$88,C$54))</x:f>
        <x:v>99000000</x:v>
      </x:c>
      <x:c r="D58" s="82" t="n">
        <x:f>IF(COUNTIFS('محصول و کانال'!$B$9:$B$88,D$54)=0,"n.a.",SUMIFS('محصول و کانال'!$S$9:$S$88,'محصول و کانال'!$B$9:$B$88,D$54))</x:f>
        <x:v>108000000</x:v>
      </x:c>
      <x:c r="E58" s="82" t="n">
        <x:f>IF(COUNTIFS('محصول و کانال'!$B$9:$B$88,E$54)=0,"n.a.",SUMIFS('محصول و کانال'!$S$9:$S$88,'محصول و کانال'!$B$9:$B$88,E$54))</x:f>
        <x:v>117000000</x:v>
      </x:c>
      <x:c r="F58" s="82" t="n">
        <x:f>IF(COUNTIFS('محصول و کانال'!$B$9:$B$88,F$54)=0,"n.a.",SUMIFS('محصول و کانال'!$S$9:$S$88,'محصول و کانال'!$B$9:$B$88,F$54))</x:f>
        <x:v>126000000</x:v>
      </x:c>
      <x:c r="G58" s="82" t="n">
        <x:f>IF(COUNTIFS('محصول و کانال'!$B$9:$B$88,G$54)=0,"n.a.",SUMIFS('محصول و کانال'!$S$9:$S$88,'محصول و کانال'!$B$9:$B$88,G$54))</x:f>
        <x:v>135000000</x:v>
      </x:c>
      <x:c r="H58" s="82" t="n">
        <x:f>IF(COUNTIFS('محصول و کانال'!$B$9:$B$88,H$54)=0,"n.a.",SUMIFS('محصول و کانال'!$S$9:$S$88,'محصول و کانال'!$B$9:$B$88,H$54))</x:f>
        <x:v>144000000</x:v>
      </x:c>
      <x:c r="I58" s="82" t="n">
        <x:f>IF(COUNTIFS('محصول و کانال'!$B$9:$B$88,I$54)=0,"n.a.",SUMIFS('محصول و کانال'!$S$9:$S$88,'محصول و کانال'!$B$9:$B$88,I$54))</x:f>
        <x:v>153000000</x:v>
      </x:c>
      <x:c r="J58" s="82" t="n">
        <x:f>IF(COUNTIFS('محصول و کانال'!$B$9:$B$88,J$54)=0,"n.a.",SUMIFS('محصول و کانال'!$S$9:$S$88,'محصول و کانال'!$B$9:$B$88,J$54))</x:f>
        <x:v>162000000</x:v>
      </x:c>
      <x:c r="K58" s="82" t="n">
        <x:f>IF(COUNTIFS('محصول و کانال'!$B$9:$B$88,K$54)=0,"n.a.",SUMIFS('محصول و کانال'!$S$9:$S$88,'محصول و کانال'!$B$9:$B$88,K$54))</x:f>
        <x:v>171000000</x:v>
      </x:c>
      <x:c r="L58" s="82" t="n">
        <x:f>IF(COUNTIFS('محصول و کانال'!$B$9:$B$88,L$54)=0,"n.a.",SUMIFS('محصول و کانال'!$S$9:$S$88,'محصول و کانال'!$B$9:$B$88,L$54))</x:f>
        <x:v>180000000</x:v>
      </x:c>
      <x:c r="M58" s="82" t="n">
        <x:f>IF(COUNTIFS('محصول و کانال'!$B$9:$B$88,M$54)=0,"n.a.",SUMIFS('محصول و کانال'!$S$9:$S$88,'محصول و کانال'!$B$9:$B$88,M$54))</x:f>
        <x:v>189000000</x:v>
      </x:c>
      <x:c r="N58" s="82" t="n">
        <x:f>SUM(B58:M58)</x:f>
        <x:v>1674000000</x:v>
      </x:c>
      <x:c r="O58" s="16" t="str">
        <x:v>محصول و کانال</x:v>
      </x:c>
      <x:c r="P58" s="3"/>
      <x:c r="Q58" s="3"/>
      <x:c r="R58" s="3"/>
      <x:c r="S58" s="3"/>
    </x:row>
    <x:row r="59" ht="15" hidden="0" customHeight="1">
      <x:c r="A59" s="16" t="str">
        <x:v>سود ناخالص</x:v>
      </x:c>
      <x:c r="B59" s="82" t="n">
        <x:f>IF(OR(NOT(ISNUMBER(B57)),NOT(ISNUMBER(B58))),"n.a.",B57-B58)</x:f>
        <x:v>90000000</x:v>
      </x:c>
      <x:c r="C59" s="82" t="n">
        <x:f>IF(OR(NOT(ISNUMBER(C57)),NOT(ISNUMBER(C58))),"n.a.",C57-C58)</x:f>
        <x:v>99000000</x:v>
      </x:c>
      <x:c r="D59" s="82" t="n">
        <x:f>IF(OR(NOT(ISNUMBER(D57)),NOT(ISNUMBER(D58))),"n.a.",D57-D58)</x:f>
        <x:v>108000000</x:v>
      </x:c>
      <x:c r="E59" s="82" t="n">
        <x:f>IF(OR(NOT(ISNUMBER(E57)),NOT(ISNUMBER(E58))),"n.a.",E57-E58)</x:f>
        <x:v>117000000</x:v>
      </x:c>
      <x:c r="F59" s="82" t="n">
        <x:f>IF(OR(NOT(ISNUMBER(F57)),NOT(ISNUMBER(F58))),"n.a.",F57-F58)</x:f>
        <x:v>126000000</x:v>
      </x:c>
      <x:c r="G59" s="82" t="n">
        <x:f>IF(OR(NOT(ISNUMBER(G57)),NOT(ISNUMBER(G58))),"n.a.",G57-G58)</x:f>
        <x:v>135000000</x:v>
      </x:c>
      <x:c r="H59" s="82" t="n">
        <x:f>IF(OR(NOT(ISNUMBER(H57)),NOT(ISNUMBER(H58))),"n.a.",H57-H58)</x:f>
        <x:v>144000000</x:v>
      </x:c>
      <x:c r="I59" s="82" t="n">
        <x:f>IF(OR(NOT(ISNUMBER(I57)),NOT(ISNUMBER(I58))),"n.a.",I57-I58)</x:f>
        <x:v>153000000</x:v>
      </x:c>
      <x:c r="J59" s="82" t="n">
        <x:f>IF(OR(NOT(ISNUMBER(J57)),NOT(ISNUMBER(J58))),"n.a.",J57-J58)</x:f>
        <x:v>162000000</x:v>
      </x:c>
      <x:c r="K59" s="82" t="n">
        <x:f>IF(OR(NOT(ISNUMBER(K57)),NOT(ISNUMBER(K58))),"n.a.",K57-K58)</x:f>
        <x:v>171000000</x:v>
      </x:c>
      <x:c r="L59" s="82" t="n">
        <x:f>IF(OR(NOT(ISNUMBER(L57)),NOT(ISNUMBER(L58))),"n.a.",L57-L58)</x:f>
        <x:v>180000000</x:v>
      </x:c>
      <x:c r="M59" s="82" t="n">
        <x:f>IF(OR(NOT(ISNUMBER(M57)),NOT(ISNUMBER(M58))),"n.a.",M57-M58)</x:f>
        <x:v>189000000</x:v>
      </x:c>
      <x:c r="N59" s="82" t="n">
        <x:f>SUM(B59:M59)</x:f>
        <x:v>1674000000</x:v>
      </x:c>
      <x:c r="O59" s="16" t="str">
        <x:v>محاسبه</x:v>
      </x:c>
      <x:c r="P59" s="3"/>
      <x:c r="Q59" s="3"/>
      <x:c r="R59" s="3"/>
      <x:c r="S59" s="3"/>
    </x:row>
    <x:row r="60" ht="15" hidden="0" customHeight="1">
      <x:c r="A60" s="16" t="str">
        <x:v>متغیر کانال و خدمت</x:v>
      </x:c>
      <x:c r="B60" s="82" t="n">
        <x:f>IF(COUNTIFS('محصول و کانال'!$B$9:$B$88,B$54)=0,"n.a.",SUMIFS('محصول و کانال'!$U$9:$U$88,'محصول و کانال'!$B$9:$B$88,B$54)+SUMIFS('محصول و کانال'!$V$9:$V$88,'محصول و کانال'!$B$9:$B$88,B$54)+SUMIFS('محصول و کانال'!$W$9:$W$88,'محصول و کانال'!$B$9:$B$88,B$54)+SUMIFS('محصول و کانال'!$X$9:$X$88,'محصول و کانال'!$B$9:$B$88,B$54)+SUMIFS('محصول و کانال'!$Z$9:$Z$88,'محصول و کانال'!$B$9:$B$88,B$54))</x:f>
        <x:v>34000000</x:v>
      </x:c>
      <x:c r="C60" s="82" t="n">
        <x:f>IF(COUNTIFS('محصول و کانال'!$B$9:$B$88,C$54)=0,"n.a.",SUMIFS('محصول و کانال'!$U$9:$U$88,'محصول و کانال'!$B$9:$B$88,C$54)+SUMIFS('محصول و کانال'!$V$9:$V$88,'محصول و کانال'!$B$9:$B$88,C$54)+SUMIFS('محصول و کانال'!$W$9:$W$88,'محصول و کانال'!$B$9:$B$88,C$54)+SUMIFS('محصول و کانال'!$X$9:$X$88,'محصول و کانال'!$B$9:$B$88,C$54)+SUMIFS('محصول و کانال'!$Z$9:$Z$88,'محصول و کانال'!$B$9:$B$88,C$54))</x:f>
        <x:v>37400000</x:v>
      </x:c>
      <x:c r="D60" s="82" t="n">
        <x:f>IF(COUNTIFS('محصول و کانال'!$B$9:$B$88,D$54)=0,"n.a.",SUMIFS('محصول و کانال'!$U$9:$U$88,'محصول و کانال'!$B$9:$B$88,D$54)+SUMIFS('محصول و کانال'!$V$9:$V$88,'محصول و کانال'!$B$9:$B$88,D$54)+SUMIFS('محصول و کانال'!$W$9:$W$88,'محصول و کانال'!$B$9:$B$88,D$54)+SUMIFS('محصول و کانال'!$X$9:$X$88,'محصول و کانال'!$B$9:$B$88,D$54)+SUMIFS('محصول و کانال'!$Z$9:$Z$88,'محصول و کانال'!$B$9:$B$88,D$54))</x:f>
        <x:v>40800000</x:v>
      </x:c>
      <x:c r="E60" s="82" t="n">
        <x:f>IF(COUNTIFS('محصول و کانال'!$B$9:$B$88,E$54)=0,"n.a.",SUMIFS('محصول و کانال'!$U$9:$U$88,'محصول و کانال'!$B$9:$B$88,E$54)+SUMIFS('محصول و کانال'!$V$9:$V$88,'محصول و کانال'!$B$9:$B$88,E$54)+SUMIFS('محصول و کانال'!$W$9:$W$88,'محصول و کانال'!$B$9:$B$88,E$54)+SUMIFS('محصول و کانال'!$X$9:$X$88,'محصول و کانال'!$B$9:$B$88,E$54)+SUMIFS('محصول و کانال'!$Z$9:$Z$88,'محصول و کانال'!$B$9:$B$88,E$54))</x:f>
        <x:v>44200000</x:v>
      </x:c>
      <x:c r="F60" s="82" t="n">
        <x:f>IF(COUNTIFS('محصول و کانال'!$B$9:$B$88,F$54)=0,"n.a.",SUMIFS('محصول و کانال'!$U$9:$U$88,'محصول و کانال'!$B$9:$B$88,F$54)+SUMIFS('محصول و کانال'!$V$9:$V$88,'محصول و کانال'!$B$9:$B$88,F$54)+SUMIFS('محصول و کانال'!$W$9:$W$88,'محصول و کانال'!$B$9:$B$88,F$54)+SUMIFS('محصول و کانال'!$X$9:$X$88,'محصول و کانال'!$B$9:$B$88,F$54)+SUMIFS('محصول و کانال'!$Z$9:$Z$88,'محصول و کانال'!$B$9:$B$88,F$54))</x:f>
        <x:v>47600000</x:v>
      </x:c>
      <x:c r="G60" s="82" t="n">
        <x:f>IF(COUNTIFS('محصول و کانال'!$B$9:$B$88,G$54)=0,"n.a.",SUMIFS('محصول و کانال'!$U$9:$U$88,'محصول و کانال'!$B$9:$B$88,G$54)+SUMIFS('محصول و کانال'!$V$9:$V$88,'محصول و کانال'!$B$9:$B$88,G$54)+SUMIFS('محصول و کانال'!$W$9:$W$88,'محصول و کانال'!$B$9:$B$88,G$54)+SUMIFS('محصول و کانال'!$X$9:$X$88,'محصول و کانال'!$B$9:$B$88,G$54)+SUMIFS('محصول و کانال'!$Z$9:$Z$88,'محصول و کانال'!$B$9:$B$88,G$54))</x:f>
        <x:v>51000000</x:v>
      </x:c>
      <x:c r="H60" s="82" t="n">
        <x:f>IF(COUNTIFS('محصول و کانال'!$B$9:$B$88,H$54)=0,"n.a.",SUMIFS('محصول و کانال'!$U$9:$U$88,'محصول و کانال'!$B$9:$B$88,H$54)+SUMIFS('محصول و کانال'!$V$9:$V$88,'محصول و کانال'!$B$9:$B$88,H$54)+SUMIFS('محصول و کانال'!$W$9:$W$88,'محصول و کانال'!$B$9:$B$88,H$54)+SUMIFS('محصول و کانال'!$X$9:$X$88,'محصول و کانال'!$B$9:$B$88,H$54)+SUMIFS('محصول و کانال'!$Z$9:$Z$88,'محصول و کانال'!$B$9:$B$88,H$54))</x:f>
        <x:v>54400000</x:v>
      </x:c>
      <x:c r="I60" s="82" t="n">
        <x:f>IF(COUNTIFS('محصول و کانال'!$B$9:$B$88,I$54)=0,"n.a.",SUMIFS('محصول و کانال'!$U$9:$U$88,'محصول و کانال'!$B$9:$B$88,I$54)+SUMIFS('محصول و کانال'!$V$9:$V$88,'محصول و کانال'!$B$9:$B$88,I$54)+SUMIFS('محصول و کانال'!$W$9:$W$88,'محصول و کانال'!$B$9:$B$88,I$54)+SUMIFS('محصول و کانال'!$X$9:$X$88,'محصول و کانال'!$B$9:$B$88,I$54)+SUMIFS('محصول و کانال'!$Z$9:$Z$88,'محصول و کانال'!$B$9:$B$88,I$54))</x:f>
        <x:v>57800000</x:v>
      </x:c>
      <x:c r="J60" s="82" t="n">
        <x:f>IF(COUNTIFS('محصول و کانال'!$B$9:$B$88,J$54)=0,"n.a.",SUMIFS('محصول و کانال'!$U$9:$U$88,'محصول و کانال'!$B$9:$B$88,J$54)+SUMIFS('محصول و کانال'!$V$9:$V$88,'محصول و کانال'!$B$9:$B$88,J$54)+SUMIFS('محصول و کانال'!$W$9:$W$88,'محصول و کانال'!$B$9:$B$88,J$54)+SUMIFS('محصول و کانال'!$X$9:$X$88,'محصول و کانال'!$B$9:$B$88,J$54)+SUMIFS('محصول و کانال'!$Z$9:$Z$88,'محصول و کانال'!$B$9:$B$88,J$54))</x:f>
        <x:v>61200000</x:v>
      </x:c>
      <x:c r="K60" s="82" t="n">
        <x:f>IF(COUNTIFS('محصول و کانال'!$B$9:$B$88,K$54)=0,"n.a.",SUMIFS('محصول و کانال'!$U$9:$U$88,'محصول و کانال'!$B$9:$B$88,K$54)+SUMIFS('محصول و کانال'!$V$9:$V$88,'محصول و کانال'!$B$9:$B$88,K$54)+SUMIFS('محصول و کانال'!$W$9:$W$88,'محصول و کانال'!$B$9:$B$88,K$54)+SUMIFS('محصول و کانال'!$X$9:$X$88,'محصول و کانال'!$B$9:$B$88,K$54)+SUMIFS('محصول و کانال'!$Z$9:$Z$88,'محصول و کانال'!$B$9:$B$88,K$54))</x:f>
        <x:v>64600000</x:v>
      </x:c>
      <x:c r="L60" s="82" t="n">
        <x:f>IF(COUNTIFS('محصول و کانال'!$B$9:$B$88,L$54)=0,"n.a.",SUMIFS('محصول و کانال'!$U$9:$U$88,'محصول و کانال'!$B$9:$B$88,L$54)+SUMIFS('محصول و کانال'!$V$9:$V$88,'محصول و کانال'!$B$9:$B$88,L$54)+SUMIFS('محصول و کانال'!$W$9:$W$88,'محصول و کانال'!$B$9:$B$88,L$54)+SUMIFS('محصول و کانال'!$X$9:$X$88,'محصول و کانال'!$B$9:$B$88,L$54)+SUMIFS('محصول و کانال'!$Z$9:$Z$88,'محصول و کانال'!$B$9:$B$88,L$54))</x:f>
        <x:v>68000000</x:v>
      </x:c>
      <x:c r="M60" s="82" t="n">
        <x:f>IF(COUNTIFS('محصول و کانال'!$B$9:$B$88,M$54)=0,"n.a.",SUMIFS('محصول و کانال'!$U$9:$U$88,'محصول و کانال'!$B$9:$B$88,M$54)+SUMIFS('محصول و کانال'!$V$9:$V$88,'محصول و کانال'!$B$9:$B$88,M$54)+SUMIFS('محصول و کانال'!$W$9:$W$88,'محصول و کانال'!$B$9:$B$88,M$54)+SUMIFS('محصول و کانال'!$X$9:$X$88,'محصول و کانال'!$B$9:$B$88,M$54)+SUMIFS('محصول و کانال'!$Z$9:$Z$88,'محصول و کانال'!$B$9:$B$88,M$54))</x:f>
        <x:v>71400000</x:v>
      </x:c>
      <x:c r="N60" s="82" t="n">
        <x:f>SUM(B60:M60)</x:f>
        <x:v>632400000</x:v>
      </x:c>
      <x:c r="O60" s="16" t="str">
        <x:v>محصول و کانال</x:v>
      </x:c>
      <x:c r="P60" s="3"/>
      <x:c r="Q60" s="3"/>
      <x:c r="R60" s="3"/>
      <x:c r="S60" s="3"/>
    </x:row>
    <x:row r="61" ht="15" hidden="0" customHeight="1">
      <x:c r="A61" s="16" t="str">
        <x:v>CM1</x:v>
      </x:c>
      <x:c r="B61" s="82" t="n">
        <x:f>IF(COUNTIFS('محصول و کانال'!$B$9:$B$88,B$54)=0,"n.a.",SUMIFS('محصول و کانال'!$AA$9:$AA$88,'محصول و کانال'!$B$9:$B$88,B$54))</x:f>
        <x:v>56000000</x:v>
      </x:c>
      <x:c r="C61" s="82" t="n">
        <x:f>IF(COUNTIFS('محصول و کانال'!$B$9:$B$88,C$54)=0,"n.a.",SUMIFS('محصول و کانال'!$AA$9:$AA$88,'محصول و کانال'!$B$9:$B$88,C$54))</x:f>
        <x:v>61600000</x:v>
      </x:c>
      <x:c r="D61" s="82" t="n">
        <x:f>IF(COUNTIFS('محصول و کانال'!$B$9:$B$88,D$54)=0,"n.a.",SUMIFS('محصول و کانال'!$AA$9:$AA$88,'محصول و کانال'!$B$9:$B$88,D$54))</x:f>
        <x:v>67200000</x:v>
      </x:c>
      <x:c r="E61" s="82" t="n">
        <x:f>IF(COUNTIFS('محصول و کانال'!$B$9:$B$88,E$54)=0,"n.a.",SUMIFS('محصول و کانال'!$AA$9:$AA$88,'محصول و کانال'!$B$9:$B$88,E$54))</x:f>
        <x:v>72800000</x:v>
      </x:c>
      <x:c r="F61" s="82" t="n">
        <x:f>IF(COUNTIFS('محصول و کانال'!$B$9:$B$88,F$54)=0,"n.a.",SUMIFS('محصول و کانال'!$AA$9:$AA$88,'محصول و کانال'!$B$9:$B$88,F$54))</x:f>
        <x:v>78400000</x:v>
      </x:c>
      <x:c r="G61" s="82" t="n">
        <x:f>IF(COUNTIFS('محصول و کانال'!$B$9:$B$88,G$54)=0,"n.a.",SUMIFS('محصول و کانال'!$AA$9:$AA$88,'محصول و کانال'!$B$9:$B$88,G$54))</x:f>
        <x:v>84000000</x:v>
      </x:c>
      <x:c r="H61" s="82" t="n">
        <x:f>IF(COUNTIFS('محصول و کانال'!$B$9:$B$88,H$54)=0,"n.a.",SUMIFS('محصول و کانال'!$AA$9:$AA$88,'محصول و کانال'!$B$9:$B$88,H$54))</x:f>
        <x:v>89600000</x:v>
      </x:c>
      <x:c r="I61" s="82" t="n">
        <x:f>IF(COUNTIFS('محصول و کانال'!$B$9:$B$88,I$54)=0,"n.a.",SUMIFS('محصول و کانال'!$AA$9:$AA$88,'محصول و کانال'!$B$9:$B$88,I$54))</x:f>
        <x:v>95200000</x:v>
      </x:c>
      <x:c r="J61" s="82" t="n">
        <x:f>IF(COUNTIFS('محصول و کانال'!$B$9:$B$88,J$54)=0,"n.a.",SUMIFS('محصول و کانال'!$AA$9:$AA$88,'محصول و کانال'!$B$9:$B$88,J$54))</x:f>
        <x:v>100800000</x:v>
      </x:c>
      <x:c r="K61" s="82" t="n">
        <x:f>IF(COUNTIFS('محصول و کانال'!$B$9:$B$88,K$54)=0,"n.a.",SUMIFS('محصول و کانال'!$AA$9:$AA$88,'محصول و کانال'!$B$9:$B$88,K$54))</x:f>
        <x:v>106400000</x:v>
      </x:c>
      <x:c r="L61" s="82" t="n">
        <x:f>IF(COUNTIFS('محصول و کانال'!$B$9:$B$88,L$54)=0,"n.a.",SUMIFS('محصول و کانال'!$AA$9:$AA$88,'محصول و کانال'!$B$9:$B$88,L$54))</x:f>
        <x:v>112000000</x:v>
      </x:c>
      <x:c r="M61" s="82" t="n">
        <x:f>IF(COUNTIFS('محصول و کانال'!$B$9:$B$88,M$54)=0,"n.a.",SUMIFS('محصول و کانال'!$AA$9:$AA$88,'محصول و کانال'!$B$9:$B$88,M$54))</x:f>
        <x:v>117600000</x:v>
      </x:c>
      <x:c r="N61" s="82" t="n">
        <x:f>SUM(B61:M61)</x:f>
        <x:v>1041600000</x:v>
      </x:c>
      <x:c r="O61" s="16" t="str">
        <x:v>محصول و کانال</x:v>
      </x:c>
      <x:c r="P61" s="3"/>
      <x:c r="Q61" s="3"/>
      <x:c r="R61" s="3"/>
      <x:c r="S61" s="3"/>
    </x:row>
    <x:row r="62" ht="15" hidden="0" customHeight="1">
      <x:c r="A62" s="16" t="str">
        <x:v>هزینه جذب</x:v>
      </x:c>
      <x:c r="B62" s="82" t="n">
        <x:f>IF(COUNTIFS('محصول و کانال'!$B$9:$B$88,B$54)=0,"n.a.",SUMIFS('محصول و کانال'!$Y$9:$Y$88,'محصول و کانال'!$B$9:$B$88,B$54))</x:f>
        <x:v>24000000</x:v>
      </x:c>
      <x:c r="C62" s="82" t="n">
        <x:f>IF(COUNTIFS('محصول و کانال'!$B$9:$B$88,C$54)=0,"n.a.",SUMIFS('محصول و کانال'!$Y$9:$Y$88,'محصول و کانال'!$B$9:$B$88,C$54))</x:f>
        <x:v>26400000</x:v>
      </x:c>
      <x:c r="D62" s="82" t="n">
        <x:f>IF(COUNTIFS('محصول و کانال'!$B$9:$B$88,D$54)=0,"n.a.",SUMIFS('محصول و کانال'!$Y$9:$Y$88,'محصول و کانال'!$B$9:$B$88,D$54))</x:f>
        <x:v>28800000</x:v>
      </x:c>
      <x:c r="E62" s="82" t="n">
        <x:f>IF(COUNTIFS('محصول و کانال'!$B$9:$B$88,E$54)=0,"n.a.",SUMIFS('محصول و کانال'!$Y$9:$Y$88,'محصول و کانال'!$B$9:$B$88,E$54))</x:f>
        <x:v>31200000</x:v>
      </x:c>
      <x:c r="F62" s="82" t="n">
        <x:f>IF(COUNTIFS('محصول و کانال'!$B$9:$B$88,F$54)=0,"n.a.",SUMIFS('محصول و کانال'!$Y$9:$Y$88,'محصول و کانال'!$B$9:$B$88,F$54))</x:f>
        <x:v>33600000</x:v>
      </x:c>
      <x:c r="G62" s="82" t="n">
        <x:f>IF(COUNTIFS('محصول و کانال'!$B$9:$B$88,G$54)=0,"n.a.",SUMIFS('محصول و کانال'!$Y$9:$Y$88,'محصول و کانال'!$B$9:$B$88,G$54))</x:f>
        <x:v>36000000</x:v>
      </x:c>
      <x:c r="H62" s="82" t="n">
        <x:f>IF(COUNTIFS('محصول و کانال'!$B$9:$B$88,H$54)=0,"n.a.",SUMIFS('محصول و کانال'!$Y$9:$Y$88,'محصول و کانال'!$B$9:$B$88,H$54))</x:f>
        <x:v>38400000</x:v>
      </x:c>
      <x:c r="I62" s="82" t="n">
        <x:f>IF(COUNTIFS('محصول و کانال'!$B$9:$B$88,I$54)=0,"n.a.",SUMIFS('محصول و کانال'!$Y$9:$Y$88,'محصول و کانال'!$B$9:$B$88,I$54))</x:f>
        <x:v>40800000</x:v>
      </x:c>
      <x:c r="J62" s="82" t="n">
        <x:f>IF(COUNTIFS('محصول و کانال'!$B$9:$B$88,J$54)=0,"n.a.",SUMIFS('محصول و کانال'!$Y$9:$Y$88,'محصول و کانال'!$B$9:$B$88,J$54))</x:f>
        <x:v>43200000</x:v>
      </x:c>
      <x:c r="K62" s="82" t="n">
        <x:f>IF(COUNTIFS('محصول و کانال'!$B$9:$B$88,K$54)=0,"n.a.",SUMIFS('محصول و کانال'!$Y$9:$Y$88,'محصول و کانال'!$B$9:$B$88,K$54))</x:f>
        <x:v>45600000</x:v>
      </x:c>
      <x:c r="L62" s="82" t="n">
        <x:f>IF(COUNTIFS('محصول و کانال'!$B$9:$B$88,L$54)=0,"n.a.",SUMIFS('محصول و کانال'!$Y$9:$Y$88,'محصول و کانال'!$B$9:$B$88,L$54))</x:f>
        <x:v>48000000</x:v>
      </x:c>
      <x:c r="M62" s="82" t="n">
        <x:f>IF(COUNTIFS('محصول و کانال'!$B$9:$B$88,M$54)=0,"n.a.",SUMIFS('محصول و کانال'!$Y$9:$Y$88,'محصول و کانال'!$B$9:$B$88,M$54))</x:f>
        <x:v>50400000</x:v>
      </x:c>
      <x:c r="N62" s="82" t="n">
        <x:f>SUM(B62:M62)</x:f>
        <x:v>446400000</x:v>
      </x:c>
      <x:c r="O62" s="16" t="str">
        <x:v>محصول و کانال</x:v>
      </x:c>
      <x:c r="P62" s="3"/>
      <x:c r="Q62" s="3"/>
      <x:c r="R62" s="3"/>
      <x:c r="S62" s="3"/>
    </x:row>
    <x:row r="63" ht="15" hidden="0" customHeight="1">
      <x:c r="A63" s="225" t="str">
        <x:v>CM2</x:v>
      </x:c>
      <x:c r="B63" s="124" t="n">
        <x:f>IF(COUNTIFS('محصول و کانال'!$B$9:$B$88,B$54)=0,"n.a.",SUMIFS('محصول و کانال'!$AB$9:$AB$88,'محصول و کانال'!$B$9:$B$88,B$54))</x:f>
        <x:v>32000000</x:v>
      </x:c>
      <x:c r="C63" s="124" t="n">
        <x:f>IF(COUNTIFS('محصول و کانال'!$B$9:$B$88,C$54)=0,"n.a.",SUMIFS('محصول و کانال'!$AB$9:$AB$88,'محصول و کانال'!$B$9:$B$88,C$54))</x:f>
        <x:v>35200000</x:v>
      </x:c>
      <x:c r="D63" s="124" t="n">
        <x:f>IF(COUNTIFS('محصول و کانال'!$B$9:$B$88,D$54)=0,"n.a.",SUMIFS('محصول و کانال'!$AB$9:$AB$88,'محصول و کانال'!$B$9:$B$88,D$54))</x:f>
        <x:v>38400000</x:v>
      </x:c>
      <x:c r="E63" s="124" t="n">
        <x:f>IF(COUNTIFS('محصول و کانال'!$B$9:$B$88,E$54)=0,"n.a.",SUMIFS('محصول و کانال'!$AB$9:$AB$88,'محصول و کانال'!$B$9:$B$88,E$54))</x:f>
        <x:v>41600000</x:v>
      </x:c>
      <x:c r="F63" s="124" t="n">
        <x:f>IF(COUNTIFS('محصول و کانال'!$B$9:$B$88,F$54)=0,"n.a.",SUMIFS('محصول و کانال'!$AB$9:$AB$88,'محصول و کانال'!$B$9:$B$88,F$54))</x:f>
        <x:v>44800000</x:v>
      </x:c>
      <x:c r="G63" s="124" t="n">
        <x:f>IF(COUNTIFS('محصول و کانال'!$B$9:$B$88,G$54)=0,"n.a.",SUMIFS('محصول و کانال'!$AB$9:$AB$88,'محصول و کانال'!$B$9:$B$88,G$54))</x:f>
        <x:v>48000000</x:v>
      </x:c>
      <x:c r="H63" s="124" t="n">
        <x:f>IF(COUNTIFS('محصول و کانال'!$B$9:$B$88,H$54)=0,"n.a.",SUMIFS('محصول و کانال'!$AB$9:$AB$88,'محصول و کانال'!$B$9:$B$88,H$54))</x:f>
        <x:v>51200000</x:v>
      </x:c>
      <x:c r="I63" s="124" t="n">
        <x:f>IF(COUNTIFS('محصول و کانال'!$B$9:$B$88,I$54)=0,"n.a.",SUMIFS('محصول و کانال'!$AB$9:$AB$88,'محصول و کانال'!$B$9:$B$88,I$54))</x:f>
        <x:v>54400000</x:v>
      </x:c>
      <x:c r="J63" s="124" t="n">
        <x:f>IF(COUNTIFS('محصول و کانال'!$B$9:$B$88,J$54)=0,"n.a.",SUMIFS('محصول و کانال'!$AB$9:$AB$88,'محصول و کانال'!$B$9:$B$88,J$54))</x:f>
        <x:v>57600000</x:v>
      </x:c>
      <x:c r="K63" s="124" t="n">
        <x:f>IF(COUNTIFS('محصول و کانال'!$B$9:$B$88,K$54)=0,"n.a.",SUMIFS('محصول و کانال'!$AB$9:$AB$88,'محصول و کانال'!$B$9:$B$88,K$54))</x:f>
        <x:v>60800000</x:v>
      </x:c>
      <x:c r="L63" s="124" t="n">
        <x:f>IF(COUNTIFS('محصول و کانال'!$B$9:$B$88,L$54)=0,"n.a.",SUMIFS('محصول و کانال'!$AB$9:$AB$88,'محصول و کانال'!$B$9:$B$88,L$54))</x:f>
        <x:v>64000000</x:v>
      </x:c>
      <x:c r="M63" s="124" t="n">
        <x:f>IF(COUNTIFS('محصول و کانال'!$B$9:$B$88,M$54)=0,"n.a.",SUMIFS('محصول و کانال'!$AB$9:$AB$88,'محصول و کانال'!$B$9:$B$88,M$54))</x:f>
        <x:v>67200000</x:v>
      </x:c>
      <x:c r="N63" s="124" t="n">
        <x:f>SUM(B63:M63)</x:f>
        <x:v>595200000</x:v>
      </x:c>
      <x:c r="O63" s="225" t="str">
        <x:v>محصول و کانال</x:v>
      </x:c>
      <x:c r="P63" s="3"/>
      <x:c r="Q63" s="3"/>
      <x:c r="R63" s="3"/>
      <x:c r="S63" s="3"/>
    </x:row>
    <x:row r="64" ht="15" hidden="0" customHeight="1">
      <x:c r="A64" s="16" t="str">
        <x:v>هزینه ثابت</x:v>
      </x:c>
      <x:c r="B64" s="82" t="n">
        <x:f>'فرض‌ها و منابع'!$B$11</x:f>
        <x:v>32000000</x:v>
      </x:c>
      <x:c r="C64" s="82" t="n">
        <x:f>'فرض‌ها و منابع'!$B$11</x:f>
        <x:v>32000000</x:v>
      </x:c>
      <x:c r="D64" s="82" t="n">
        <x:f>'فرض‌ها و منابع'!$B$11</x:f>
        <x:v>32000000</x:v>
      </x:c>
      <x:c r="E64" s="82" t="n">
        <x:f>'فرض‌ها و منابع'!$B$11</x:f>
        <x:v>32000000</x:v>
      </x:c>
      <x:c r="F64" s="82" t="n">
        <x:f>'فرض‌ها و منابع'!$B$11</x:f>
        <x:v>32000000</x:v>
      </x:c>
      <x:c r="G64" s="82" t="n">
        <x:f>'فرض‌ها و منابع'!$B$11</x:f>
        <x:v>32000000</x:v>
      </x:c>
      <x:c r="H64" s="82" t="n">
        <x:f>'فرض‌ها و منابع'!$B$11</x:f>
        <x:v>32000000</x:v>
      </x:c>
      <x:c r="I64" s="82" t="n">
        <x:f>'فرض‌ها و منابع'!$B$11</x:f>
        <x:v>32000000</x:v>
      </x:c>
      <x:c r="J64" s="82" t="n">
        <x:f>'فرض‌ها و منابع'!$B$11</x:f>
        <x:v>32000000</x:v>
      </x:c>
      <x:c r="K64" s="82" t="n">
        <x:f>'فرض‌ها و منابع'!$B$11</x:f>
        <x:v>32000000</x:v>
      </x:c>
      <x:c r="L64" s="82" t="n">
        <x:f>'فرض‌ها و منابع'!$B$11</x:f>
        <x:v>32000000</x:v>
      </x:c>
      <x:c r="M64" s="82" t="n">
        <x:f>'فرض‌ها و منابع'!$B$11</x:f>
        <x:v>32000000</x:v>
      </x:c>
      <x:c r="N64" s="82" t="n">
        <x:f>SUM(B64:M64)</x:f>
        <x:v>384000000</x:v>
      </x:c>
      <x:c r="O64" s="16" t="str">
        <x:v>فرض‌ها و منابع</x:v>
      </x:c>
      <x:c r="P64" s="3"/>
      <x:c r="Q64" s="3"/>
      <x:c r="R64" s="3"/>
      <x:c r="S64" s="3"/>
    </x:row>
    <x:row r="65" ht="15" hidden="0" customHeight="1">
      <x:c r="A65" s="230" t="str">
        <x:v>نتیجه عملیاتی</x:v>
      </x:c>
      <x:c r="B65" s="126" t="n">
        <x:f>IF(NOT(ISNUMBER(B63)),"n.a.",B63-B64)</x:f>
        <x:v>0</x:v>
      </x:c>
      <x:c r="C65" s="126" t="n">
        <x:f>IF(NOT(ISNUMBER(C63)),"n.a.",C63-C64)</x:f>
        <x:v>3200000</x:v>
      </x:c>
      <x:c r="D65" s="126" t="n">
        <x:f>IF(NOT(ISNUMBER(D63)),"n.a.",D63-D64)</x:f>
        <x:v>6400000</x:v>
      </x:c>
      <x:c r="E65" s="126" t="n">
        <x:f>IF(NOT(ISNUMBER(E63)),"n.a.",E63-E64)</x:f>
        <x:v>9600000</x:v>
      </x:c>
      <x:c r="F65" s="126" t="n">
        <x:f>IF(NOT(ISNUMBER(F63)),"n.a.",F63-F64)</x:f>
        <x:v>12800000</x:v>
      </x:c>
      <x:c r="G65" s="126" t="n">
        <x:f>IF(NOT(ISNUMBER(G63)),"n.a.",G63-G64)</x:f>
        <x:v>16000000</x:v>
      </x:c>
      <x:c r="H65" s="126" t="n">
        <x:f>IF(NOT(ISNUMBER(H63)),"n.a.",H63-H64)</x:f>
        <x:v>19200000</x:v>
      </x:c>
      <x:c r="I65" s="126" t="n">
        <x:f>IF(NOT(ISNUMBER(I63)),"n.a.",I63-I64)</x:f>
        <x:v>22400000</x:v>
      </x:c>
      <x:c r="J65" s="126" t="n">
        <x:f>IF(NOT(ISNUMBER(J63)),"n.a.",J63-J64)</x:f>
        <x:v>25600000</x:v>
      </x:c>
      <x:c r="K65" s="126" t="n">
        <x:f>IF(NOT(ISNUMBER(K63)),"n.a.",K63-K64)</x:f>
        <x:v>28800000</x:v>
      </x:c>
      <x:c r="L65" s="126" t="n">
        <x:f>IF(NOT(ISNUMBER(L63)),"n.a.",L63-L64)</x:f>
        <x:v>32000000</x:v>
      </x:c>
      <x:c r="M65" s="126" t="n">
        <x:f>IF(NOT(ISNUMBER(M63)),"n.a.",M63-M64)</x:f>
        <x:v>35200000</x:v>
      </x:c>
      <x:c r="N65" s="126" t="n">
        <x:f>SUM(B65:M65)</x:f>
        <x:v>211200000</x:v>
      </x:c>
      <x:c r="O65" s="230" t="str">
        <x:v>محاسبه</x:v>
      </x:c>
      <x:c r="P65" s="3"/>
      <x:c r="Q65" s="3"/>
      <x:c r="R65" s="3"/>
      <x:c r="S65" s="3"/>
    </x:row>
    <x:row r="66" ht="15" hidden="0" customHeight="1">
      <x:c r="A66" s="16" t="str">
        <x:v>واحد تحویل‌شده</x:v>
      </x:c>
      <x:c r="B66" s="82" t="n">
        <x:f>IF(COUNTIFS('محصول و کانال'!$B$9:$B$88,B$54)=0,"n.a.",SUMIFS('محصول و کانال'!$J$9:$J$88,'محصول و کانال'!$B$9:$B$88,B$54))</x:f>
        <x:v>200</x:v>
      </x:c>
      <x:c r="C66" s="82" t="n">
        <x:f>IF(COUNTIFS('محصول و کانال'!$B$9:$B$88,C$54)=0,"n.a.",SUMIFS('محصول و کانال'!$J$9:$J$88,'محصول و کانال'!$B$9:$B$88,C$54))</x:f>
        <x:v>220</x:v>
      </x:c>
      <x:c r="D66" s="82" t="n">
        <x:f>IF(COUNTIFS('محصول و کانال'!$B$9:$B$88,D$54)=0,"n.a.",SUMIFS('محصول و کانال'!$J$9:$J$88,'محصول و کانال'!$B$9:$B$88,D$54))</x:f>
        <x:v>240</x:v>
      </x:c>
      <x:c r="E66" s="82" t="n">
        <x:f>IF(COUNTIFS('محصول و کانال'!$B$9:$B$88,E$54)=0,"n.a.",SUMIFS('محصول و کانال'!$J$9:$J$88,'محصول و کانال'!$B$9:$B$88,E$54))</x:f>
        <x:v>260</x:v>
      </x:c>
      <x:c r="F66" s="82" t="n">
        <x:f>IF(COUNTIFS('محصول و کانال'!$B$9:$B$88,F$54)=0,"n.a.",SUMIFS('محصول و کانال'!$J$9:$J$88,'محصول و کانال'!$B$9:$B$88,F$54))</x:f>
        <x:v>280</x:v>
      </x:c>
      <x:c r="G66" s="82" t="n">
        <x:f>IF(COUNTIFS('محصول و کانال'!$B$9:$B$88,G$54)=0,"n.a.",SUMIFS('محصول و کانال'!$J$9:$J$88,'محصول و کانال'!$B$9:$B$88,G$54))</x:f>
        <x:v>300</x:v>
      </x:c>
      <x:c r="H66" s="82" t="n">
        <x:f>IF(COUNTIFS('محصول و کانال'!$B$9:$B$88,H$54)=0,"n.a.",SUMIFS('محصول و کانال'!$J$9:$J$88,'محصول و کانال'!$B$9:$B$88,H$54))</x:f>
        <x:v>320</x:v>
      </x:c>
      <x:c r="I66" s="82" t="n">
        <x:f>IF(COUNTIFS('محصول و کانال'!$B$9:$B$88,I$54)=0,"n.a.",SUMIFS('محصول و کانال'!$J$9:$J$88,'محصول و کانال'!$B$9:$B$88,I$54))</x:f>
        <x:v>340</x:v>
      </x:c>
      <x:c r="J66" s="82" t="n">
        <x:f>IF(COUNTIFS('محصول و کانال'!$B$9:$B$88,J$54)=0,"n.a.",SUMIFS('محصول و کانال'!$J$9:$J$88,'محصول و کانال'!$B$9:$B$88,J$54))</x:f>
        <x:v>360</x:v>
      </x:c>
      <x:c r="K66" s="82" t="n">
        <x:f>IF(COUNTIFS('محصول و کانال'!$B$9:$B$88,K$54)=0,"n.a.",SUMIFS('محصول و کانال'!$J$9:$J$88,'محصول و کانال'!$B$9:$B$88,K$54))</x:f>
        <x:v>380</x:v>
      </x:c>
      <x:c r="L66" s="82" t="n">
        <x:f>IF(COUNTIFS('محصول و کانال'!$B$9:$B$88,L$54)=0,"n.a.",SUMIFS('محصول و کانال'!$J$9:$J$88,'محصول و کانال'!$B$9:$B$88,L$54))</x:f>
        <x:v>400</x:v>
      </x:c>
      <x:c r="M66" s="82" t="n">
        <x:f>IF(COUNTIFS('محصول و کانال'!$B$9:$B$88,M$54)=0,"n.a.",SUMIFS('محصول و کانال'!$J$9:$J$88,'محصول و کانال'!$B$9:$B$88,M$54))</x:f>
        <x:v>420</x:v>
      </x:c>
      <x:c r="N66" s="82" t="n">
        <x:f>SUM(B66:M66)</x:f>
        <x:v>3720</x:v>
      </x:c>
      <x:c r="O66" s="16" t="str">
        <x:v>محصول و کانال</x:v>
      </x:c>
      <x:c r="P66" s="3"/>
      <x:c r="Q66" s="3"/>
      <x:c r="R66" s="3"/>
      <x:c r="S66" s="3"/>
    </x:row>
    <x:row r="67" ht="15" hidden="0" customHeight="1">
      <x:c r="A67" s="16" t="str">
        <x:v>سفارش پرداخت‌شده</x:v>
      </x:c>
      <x:c r="B67" s="82" t="n">
        <x:f>IF(COUNTIFS('محصول و کانال'!$B$9:$B$88,B$54)=0,"n.a.",SUMIFS('محصول و کانال'!$K$9:$K$88,'محصول و کانال'!$B$9:$B$88,B$54))</x:f>
        <x:v>182</x:v>
      </x:c>
      <x:c r="C67" s="82" t="n">
        <x:f>IF(COUNTIFS('محصول و کانال'!$B$9:$B$88,C$54)=0,"n.a.",SUMIFS('محصول و کانال'!$K$9:$K$88,'محصول و کانال'!$B$9:$B$88,C$54))</x:f>
        <x:v>200</x:v>
      </x:c>
      <x:c r="D67" s="82" t="n">
        <x:f>IF(COUNTIFS('محصول و کانال'!$B$9:$B$88,D$54)=0,"n.a.",SUMIFS('محصول و کانال'!$K$9:$K$88,'محصول و کانال'!$B$9:$B$88,D$54))</x:f>
        <x:v>218</x:v>
      </x:c>
      <x:c r="E67" s="82" t="n">
        <x:f>IF(COUNTIFS('محصول و کانال'!$B$9:$B$88,E$54)=0,"n.a.",SUMIFS('محصول و کانال'!$K$9:$K$88,'محصول و کانال'!$B$9:$B$88,E$54))</x:f>
        <x:v>236</x:v>
      </x:c>
      <x:c r="F67" s="82" t="n">
        <x:f>IF(COUNTIFS('محصول و کانال'!$B$9:$B$88,F$54)=0,"n.a.",SUMIFS('محصول و کانال'!$K$9:$K$88,'محصول و کانال'!$B$9:$B$88,F$54))</x:f>
        <x:v>255</x:v>
      </x:c>
      <x:c r="G67" s="82" t="n">
        <x:f>IF(COUNTIFS('محصول و کانال'!$B$9:$B$88,G$54)=0,"n.a.",SUMIFS('محصول و کانال'!$K$9:$K$88,'محصول و کانال'!$B$9:$B$88,G$54))</x:f>
        <x:v>273</x:v>
      </x:c>
      <x:c r="H67" s="82" t="n">
        <x:f>IF(COUNTIFS('محصول و کانال'!$B$9:$B$88,H$54)=0,"n.a.",SUMIFS('محصول و کانال'!$K$9:$K$88,'محصول و کانال'!$B$9:$B$88,H$54))</x:f>
        <x:v>291</x:v>
      </x:c>
      <x:c r="I67" s="82" t="n">
        <x:f>IF(COUNTIFS('محصول و کانال'!$B$9:$B$88,I$54)=0,"n.a.",SUMIFS('محصول و کانال'!$K$9:$K$88,'محصول و کانال'!$B$9:$B$88,I$54))</x:f>
        <x:v>309</x:v>
      </x:c>
      <x:c r="J67" s="82" t="n">
        <x:f>IF(COUNTIFS('محصول و کانال'!$B$9:$B$88,J$54)=0,"n.a.",SUMIFS('محصول و کانال'!$K$9:$K$88,'محصول و کانال'!$B$9:$B$88,J$54))</x:f>
        <x:v>327</x:v>
      </x:c>
      <x:c r="K67" s="82" t="n">
        <x:f>IF(COUNTIFS('محصول و کانال'!$B$9:$B$88,K$54)=0,"n.a.",SUMIFS('محصول و کانال'!$K$9:$K$88,'محصول و کانال'!$B$9:$B$88,K$54))</x:f>
        <x:v>345</x:v>
      </x:c>
      <x:c r="L67" s="82" t="n">
        <x:f>IF(COUNTIFS('محصول و کانال'!$B$9:$B$88,L$54)=0,"n.a.",SUMIFS('محصول و کانال'!$K$9:$K$88,'محصول و کانال'!$B$9:$B$88,L$54))</x:f>
        <x:v>364</x:v>
      </x:c>
      <x:c r="M67" s="82" t="n">
        <x:f>IF(COUNTIFS('محصول و کانال'!$B$9:$B$88,M$54)=0,"n.a.",SUMIFS('محصول و کانال'!$K$9:$K$88,'محصول و کانال'!$B$9:$B$88,M$54))</x:f>
        <x:v>382</x:v>
      </x:c>
      <x:c r="N67" s="82" t="n">
        <x:f>SUM(B67:M67)</x:f>
        <x:v>3382</x:v>
      </x:c>
      <x:c r="O67" s="16" t="str">
        <x:v>محصول و کانال</x:v>
      </x:c>
      <x:c r="P67" s="3"/>
      <x:c r="Q67" s="3"/>
      <x:c r="R67" s="3"/>
      <x:c r="S67" s="3"/>
    </x:row>
    <x:row r="68" ht="15" hidden="0" customHeight="1">
      <x:c r="A68" s="16" t="str">
        <x:v>مشتری جدید</x:v>
      </x:c>
      <x:c r="B68" s="82" t="n">
        <x:f>IF(COUNTIFS('محصول و کانال'!$B$9:$B$88,B$54)=0,"n.a.",SUMIFS('محصول و کانال'!$L$9:$L$88,'محصول و کانال'!$B$9:$B$88,B$54))</x:f>
        <x:v>127</x:v>
      </x:c>
      <x:c r="C68" s="82" t="n">
        <x:f>IF(COUNTIFS('محصول و کانال'!$B$9:$B$88,C$54)=0,"n.a.",SUMIFS('محصول و کانال'!$L$9:$L$88,'محصول و کانال'!$B$9:$B$88,C$54))</x:f>
        <x:v>140</x:v>
      </x:c>
      <x:c r="D68" s="82" t="n">
        <x:f>IF(COUNTIFS('محصول و کانال'!$B$9:$B$88,D$54)=0,"n.a.",SUMIFS('محصول و کانال'!$L$9:$L$88,'محصول و کانال'!$B$9:$B$88,D$54))</x:f>
        <x:v>153</x:v>
      </x:c>
      <x:c r="E68" s="82" t="n">
        <x:f>IF(COUNTIFS('محصول و کانال'!$B$9:$B$88,E$54)=0,"n.a.",SUMIFS('محصول و کانال'!$L$9:$L$88,'محصول و کانال'!$B$9:$B$88,E$54))</x:f>
        <x:v>165</x:v>
      </x:c>
      <x:c r="F68" s="82" t="n">
        <x:f>IF(COUNTIFS('محصول و کانال'!$B$9:$B$88,F$54)=0,"n.a.",SUMIFS('محصول و کانال'!$L$9:$L$88,'محصول و کانال'!$B$9:$B$88,F$54))</x:f>
        <x:v>179</x:v>
      </x:c>
      <x:c r="G68" s="82" t="n">
        <x:f>IF(COUNTIFS('محصول و کانال'!$B$9:$B$88,G$54)=0,"n.a.",SUMIFS('محصول و کانال'!$L$9:$L$88,'محصول و کانال'!$B$9:$B$88,G$54))</x:f>
        <x:v>191</x:v>
      </x:c>
      <x:c r="H68" s="82" t="n">
        <x:f>IF(COUNTIFS('محصول و کانال'!$B$9:$B$88,H$54)=0,"n.a.",SUMIFS('محصول و کانال'!$L$9:$L$88,'محصول و کانال'!$B$9:$B$88,H$54))</x:f>
        <x:v>204</x:v>
      </x:c>
      <x:c r="I68" s="82" t="n">
        <x:f>IF(COUNTIFS('محصول و کانال'!$B$9:$B$88,I$54)=0,"n.a.",SUMIFS('محصول و کانال'!$L$9:$L$88,'محصول و کانال'!$B$9:$B$88,I$54))</x:f>
        <x:v>216</x:v>
      </x:c>
      <x:c r="J68" s="82" t="n">
        <x:f>IF(COUNTIFS('محصول و کانال'!$B$9:$B$88,J$54)=0,"n.a.",SUMIFS('محصول و کانال'!$L$9:$L$88,'محصول و کانال'!$B$9:$B$88,J$54))</x:f>
        <x:v>229</x:v>
      </x:c>
      <x:c r="K68" s="82" t="n">
        <x:f>IF(COUNTIFS('محصول و کانال'!$B$9:$B$88,K$54)=0,"n.a.",SUMIFS('محصول و کانال'!$L$9:$L$88,'محصول و کانال'!$B$9:$B$88,K$54))</x:f>
        <x:v>241</x:v>
      </x:c>
      <x:c r="L68" s="82" t="n">
        <x:f>IF(COUNTIFS('محصول و کانال'!$B$9:$B$88,L$54)=0,"n.a.",SUMIFS('محصول و کانال'!$L$9:$L$88,'محصول و کانال'!$B$9:$B$88,L$54))</x:f>
        <x:v>255</x:v>
      </x:c>
      <x:c r="M68" s="82" t="n">
        <x:f>IF(COUNTIFS('محصول و کانال'!$B$9:$B$88,M$54)=0,"n.a.",SUMIFS('محصول و کانال'!$L$9:$L$88,'محصول و کانال'!$B$9:$B$88,M$54))</x:f>
        <x:v>267</x:v>
      </x:c>
      <x:c r="N68" s="82" t="n">
        <x:f>SUM(B68:M68)</x:f>
        <x:v>2367</x:v>
      </x:c>
      <x:c r="O68" s="16" t="str">
        <x:v>محصول و کانال</x:v>
      </x:c>
      <x:c r="P68" s="3"/>
      <x:c r="Q68" s="3"/>
      <x:c r="R68" s="3"/>
      <x:c r="S68" s="3"/>
    </x:row>
    <x:row r="69" ht="15" hidden="0" customHeight="1">
      <x:c r="A69" s="16" t="str">
        <x:v>CAC</x:v>
      </x:c>
      <x:c r="B69" s="82" t="n">
        <x:f>IF(OR(NOT(ISNUMBER(B62)),NOT(ISNUMBER(B68)),B68=0),"n.a.",B62/B68)</x:f>
        <x:v>188976.3779527559</x:v>
      </x:c>
      <x:c r="C69" s="82" t="n">
        <x:f>IF(OR(NOT(ISNUMBER(C62)),NOT(ISNUMBER(C68)),C68=0),"n.a.",C62/C68)</x:f>
        <x:v>188571.42857142858</x:v>
      </x:c>
      <x:c r="D69" s="82" t="n">
        <x:f>IF(OR(NOT(ISNUMBER(D62)),NOT(ISNUMBER(D68)),D68=0),"n.a.",D62/D68)</x:f>
        <x:v>188235.29411764705</x:v>
      </x:c>
      <x:c r="E69" s="82" t="n">
        <x:f>IF(OR(NOT(ISNUMBER(E62)),NOT(ISNUMBER(E68)),E68=0),"n.a.",E62/E68)</x:f>
        <x:v>189090.9090909091</x:v>
      </x:c>
      <x:c r="F69" s="82" t="n">
        <x:f>IF(OR(NOT(ISNUMBER(F62)),NOT(ISNUMBER(F68)),F68=0),"n.a.",F62/F68)</x:f>
        <x:v>187709.4972067039</x:v>
      </x:c>
      <x:c r="G69" s="82" t="n">
        <x:f>IF(OR(NOT(ISNUMBER(G62)),NOT(ISNUMBER(G68)),G68=0),"n.a.",G62/G68)</x:f>
        <x:v>188481.67539267015</x:v>
      </x:c>
      <x:c r="H69" s="82" t="n">
        <x:f>IF(OR(NOT(ISNUMBER(H62)),NOT(ISNUMBER(H68)),H68=0),"n.a.",H62/H68)</x:f>
        <x:v>188235.29411764705</x:v>
      </x:c>
      <x:c r="I69" s="82" t="n">
        <x:f>IF(OR(NOT(ISNUMBER(I62)),NOT(ISNUMBER(I68)),I68=0),"n.a.",I62/I68)</x:f>
        <x:v>188888.88888888888</x:v>
      </x:c>
      <x:c r="J69" s="82" t="n">
        <x:f>IF(OR(NOT(ISNUMBER(J62)),NOT(ISNUMBER(J68)),J68=0),"n.a.",J62/J68)</x:f>
        <x:v>188646.28820960698</x:v>
      </x:c>
      <x:c r="K69" s="82" t="n">
        <x:f>IF(OR(NOT(ISNUMBER(K62)),NOT(ISNUMBER(K68)),K68=0),"n.a.",K62/K68)</x:f>
        <x:v>189211.6182572614</x:v>
      </x:c>
      <x:c r="L69" s="82" t="n">
        <x:f>IF(OR(NOT(ISNUMBER(L62)),NOT(ISNUMBER(L68)),L68=0),"n.a.",L62/L68)</x:f>
        <x:v>188235.29411764705</x:v>
      </x:c>
      <x:c r="M69" s="82" t="n">
        <x:f>IF(OR(NOT(ISNUMBER(M62)),NOT(ISNUMBER(M68)),M68=0),"n.a.",M62/M68)</x:f>
        <x:v>188764.04494382022</x:v>
      </x:c>
      <x:c r="N69" s="82" t="n">
        <x:f>IF(N68=0,"n.a.",N62/N68)</x:f>
        <x:v>188593.1558935361</x:v>
      </x:c>
      <x:c r="O69" s="16" t="str">
        <x:v>محاسبه</x:v>
      </x:c>
      <x:c r="P69" s="3"/>
      <x:c r="Q69" s="3"/>
      <x:c r="R69" s="3"/>
      <x:c r="S69" s="3"/>
    </x:row>
    <x:row r="70" ht="15" hidden="0" customHeight="1">
      <x:c r="A70" s="16" t="str">
        <x:v>AOV</x:v>
      </x:c>
      <x:c r="B70" s="82" t="n">
        <x:f>IF(OR(NOT(ISNUMBER(B57)),NOT(ISNUMBER(B67)),B67=0),"n.a.",B57/B67)</x:f>
        <x:v>989010.989010989</x:v>
      </x:c>
      <x:c r="C70" s="82" t="n">
        <x:f>IF(OR(NOT(ISNUMBER(C57)),NOT(ISNUMBER(C67)),C67=0),"n.a.",C57/C67)</x:f>
        <x:v>990000</x:v>
      </x:c>
      <x:c r="D70" s="82" t="n">
        <x:f>IF(OR(NOT(ISNUMBER(D57)),NOT(ISNUMBER(D67)),D67=0),"n.a.",D57/D67)</x:f>
        <x:v>990825.6880733945</x:v>
      </x:c>
      <x:c r="E70" s="82" t="n">
        <x:f>IF(OR(NOT(ISNUMBER(E57)),NOT(ISNUMBER(E67)),E67=0),"n.a.",E57/E67)</x:f>
        <x:v>991525.4237288135</x:v>
      </x:c>
      <x:c r="F70" s="82" t="n">
        <x:f>IF(OR(NOT(ISNUMBER(F57)),NOT(ISNUMBER(F67)),F67=0),"n.a.",F57/F67)</x:f>
        <x:v>988235.2941176471</x:v>
      </x:c>
      <x:c r="G70" s="82" t="n">
        <x:f>IF(OR(NOT(ISNUMBER(G57)),NOT(ISNUMBER(G67)),G67=0),"n.a.",G57/G67)</x:f>
        <x:v>989010.989010989</x:v>
      </x:c>
      <x:c r="H70" s="82" t="n">
        <x:f>IF(OR(NOT(ISNUMBER(H57)),NOT(ISNUMBER(H67)),H67=0),"n.a.",H57/H67)</x:f>
        <x:v>989690.7216494846</x:v>
      </x:c>
      <x:c r="I70" s="82" t="n">
        <x:f>IF(OR(NOT(ISNUMBER(I57)),NOT(ISNUMBER(I67)),I67=0),"n.a.",I57/I67)</x:f>
        <x:v>990291.2621359223</x:v>
      </x:c>
      <x:c r="J70" s="82" t="n">
        <x:f>IF(OR(NOT(ISNUMBER(J57)),NOT(ISNUMBER(J67)),J67=0),"n.a.",J57/J67)</x:f>
        <x:v>990825.6880733945</x:v>
      </x:c>
      <x:c r="K70" s="82" t="n">
        <x:f>IF(OR(NOT(ISNUMBER(K57)),NOT(ISNUMBER(K67)),K67=0),"n.a.",K57/K67)</x:f>
        <x:v>991304.3478260869</x:v>
      </x:c>
      <x:c r="L70" s="82" t="n">
        <x:f>IF(OR(NOT(ISNUMBER(L57)),NOT(ISNUMBER(L67)),L67=0),"n.a.",L57/L67)</x:f>
        <x:v>989010.989010989</x:v>
      </x:c>
      <x:c r="M70" s="82" t="n">
        <x:f>IF(OR(NOT(ISNUMBER(M57)),NOT(ISNUMBER(M67)),M67=0),"n.a.",M57/M67)</x:f>
        <x:v>989528.7958115183</x:v>
      </x:c>
      <x:c r="N70" s="82" t="n">
        <x:f>IF(N67=0,"n.a.",N57/N67)</x:f>
        <x:v>989946.777054997</x:v>
      </x:c>
      <x:c r="O70" s="16" t="str">
        <x:v>محاسبه</x:v>
      </x:c>
      <x:c r="P70" s="3"/>
      <x:c r="Q70" s="3"/>
      <x:c r="R70" s="3"/>
      <x:c r="S70" s="3"/>
    </x:row>
    <x:row r="71" ht="15" hidden="0" customHeight="1">
      <x:c r="A71" s="16" t="str">
        <x:v>نرخ مرجوعی</x:v>
      </x:c>
      <x:c r="B71" s="83" t="n">
        <x:f>IF(OR(NOT(ISNUMBER(B66)),B66=0),"n.a.",SUMIFS('مرجوعی و بازخورد'!$K$9:$K$68,'مرجوعی و بازخورد'!$B$9:$B$68,"&gt;="&amp;B$54,'مرجوعی و بازخورد'!$B$9:$B$68,"&lt;"&amp;EDATE(B$54,1),'مرجوعی و بازخورد'!$H$9:$H$68,"مرجوعی")/B66)</x:f>
        <x:v>0.1</x:v>
      </x:c>
      <x:c r="C71" s="83" t="n">
        <x:f>IF(OR(NOT(ISNUMBER(C66)),C66=0),"n.a.",SUMIFS('مرجوعی و بازخورد'!$K$9:$K$68,'مرجوعی و بازخورد'!$B$9:$B$68,"&gt;="&amp;C$54,'مرجوعی و بازخورد'!$B$9:$B$68,"&lt;"&amp;EDATE(C$54,1),'مرجوعی و بازخورد'!$H$9:$H$68,"مرجوعی")/C66)</x:f>
        <x:v>0</x:v>
      </x:c>
      <x:c r="D71" s="83" t="n">
        <x:f>IF(OR(NOT(ISNUMBER(D66)),D66=0),"n.a.",SUMIFS('مرجوعی و بازخورد'!$K$9:$K$68,'مرجوعی و بازخورد'!$B$9:$B$68,"&gt;="&amp;D$54,'مرجوعی و بازخورد'!$B$9:$B$68,"&lt;"&amp;EDATE(D$54,1),'مرجوعی و بازخورد'!$H$9:$H$68,"مرجوعی")/D66)</x:f>
        <x:v>0.125</x:v>
      </x:c>
      <x:c r="E71" s="83" t="n">
        <x:f>IF(OR(NOT(ISNUMBER(E66)),E66=0),"n.a.",SUMIFS('مرجوعی و بازخورد'!$K$9:$K$68,'مرجوعی و بازخورد'!$B$9:$B$68,"&gt;="&amp;E$54,'مرجوعی و بازخورد'!$B$9:$B$68,"&lt;"&amp;EDATE(E$54,1),'مرجوعی و بازخورد'!$H$9:$H$68,"مرجوعی")/E66)</x:f>
        <x:v>0</x:v>
      </x:c>
      <x:c r="F71" s="83" t="n">
        <x:f>IF(OR(NOT(ISNUMBER(F66)),F66=0),"n.a.",SUMIFS('مرجوعی و بازخورد'!$K$9:$K$68,'مرجوعی و بازخورد'!$B$9:$B$68,"&gt;="&amp;F$54,'مرجوعی و بازخورد'!$B$9:$B$68,"&lt;"&amp;EDATE(F$54,1),'مرجوعی و بازخورد'!$H$9:$H$68,"مرجوعی")/F66)</x:f>
        <x:v>0</x:v>
      </x:c>
      <x:c r="G71" s="83" t="n">
        <x:f>IF(OR(NOT(ISNUMBER(G66)),G66=0),"n.a.",SUMIFS('مرجوعی و بازخورد'!$K$9:$K$68,'مرجوعی و بازخورد'!$B$9:$B$68,"&gt;="&amp;G$54,'مرجوعی و بازخورد'!$B$9:$B$68,"&lt;"&amp;EDATE(G$54,1),'مرجوعی و بازخورد'!$H$9:$H$68,"مرجوعی")/G66)</x:f>
        <x:v>0</x:v>
      </x:c>
      <x:c r="H71" s="83" t="n">
        <x:f>IF(OR(NOT(ISNUMBER(H66)),H66=0),"n.a.",SUMIFS('مرجوعی و بازخورد'!$K$9:$K$68,'مرجوعی و بازخورد'!$B$9:$B$68,"&gt;="&amp;H$54,'مرجوعی و بازخورد'!$B$9:$B$68,"&lt;"&amp;EDATE(H$54,1),'مرجوعی و بازخورد'!$H$9:$H$68,"مرجوعی")/H66)</x:f>
        <x:v>0</x:v>
      </x:c>
      <x:c r="I71" s="83" t="n">
        <x:f>IF(OR(NOT(ISNUMBER(I66)),I66=0),"n.a.",SUMIFS('مرجوعی و بازخورد'!$K$9:$K$68,'مرجوعی و بازخورد'!$B$9:$B$68,"&gt;="&amp;I$54,'مرجوعی و بازخورد'!$B$9:$B$68,"&lt;"&amp;EDATE(I$54,1),'مرجوعی و بازخورد'!$H$9:$H$68,"مرجوعی")/I66)</x:f>
        <x:v>0</x:v>
      </x:c>
      <x:c r="J71" s="83" t="n">
        <x:f>IF(OR(NOT(ISNUMBER(J66)),J66=0),"n.a.",SUMIFS('مرجوعی و بازخورد'!$K$9:$K$68,'مرجوعی و بازخورد'!$B$9:$B$68,"&gt;="&amp;J$54,'مرجوعی و بازخورد'!$B$9:$B$68,"&lt;"&amp;EDATE(J$54,1),'مرجوعی و بازخورد'!$H$9:$H$68,"مرجوعی")/J66)</x:f>
        <x:v>0</x:v>
      </x:c>
      <x:c r="K71" s="83" t="n">
        <x:f>IF(OR(NOT(ISNUMBER(K66)),K66=0),"n.a.",SUMIFS('مرجوعی و بازخورد'!$K$9:$K$68,'مرجوعی و بازخورد'!$B$9:$B$68,"&gt;="&amp;K$54,'مرجوعی و بازخورد'!$B$9:$B$68,"&lt;"&amp;EDATE(K$54,1),'مرجوعی و بازخورد'!$H$9:$H$68,"مرجوعی")/K66)</x:f>
        <x:v>0</x:v>
      </x:c>
      <x:c r="L71" s="83" t="n">
        <x:f>IF(OR(NOT(ISNUMBER(L66)),L66=0),"n.a.",SUMIFS('مرجوعی و بازخورد'!$K$9:$K$68,'مرجوعی و بازخورد'!$B$9:$B$68,"&gt;="&amp;L$54,'مرجوعی و بازخورد'!$B$9:$B$68,"&lt;"&amp;EDATE(L$54,1),'مرجوعی و بازخورد'!$H$9:$H$68,"مرجوعی")/L66)</x:f>
        <x:v>0</x:v>
      </x:c>
      <x:c r="M71" s="83" t="n">
        <x:f>IF(OR(NOT(ISNUMBER(M66)),M66=0),"n.a.",SUMIFS('مرجوعی و بازخورد'!$K$9:$K$68,'مرجوعی و بازخورد'!$B$9:$B$68,"&gt;="&amp;M$54,'مرجوعی و بازخورد'!$B$9:$B$68,"&lt;"&amp;EDATE(M$54,1),'مرجوعی و بازخورد'!$H$9:$H$68,"مرجوعی")/M66)</x:f>
        <x:v>0</x:v>
      </x:c>
      <x:c r="N71" s="83" t="n">
        <x:f>IF(N66=0,"n.a.",SUMIFS('مرجوعی و بازخورد'!$K$9:$K$68,'مرجوعی و بازخورد'!$H$9:$H$68,"مرجوعی")/N66)</x:f>
        <x:v>0.013440860215053764</x:v>
      </x:c>
      <x:c r="O71" s="16" t="str">
        <x:v>مرجوعی و بازخورد</x:v>
      </x:c>
      <x:c r="P71" s="3"/>
      <x:c r="Q71" s="3"/>
      <x:c r="R71" s="3"/>
      <x:c r="S71" s="3"/>
    </x:row>
    <x:row r="72" ht="15" hidden="0" customHeight="1">
      <x:c r="A72" s="16" t="str">
        <x:v>نرخ تبدیل</x:v>
      </x:c>
      <x:c r="B72" s="83" t="n">
        <x:f>IF(SUMIFS('قیف و آزمایش‌ها'!$D$14:$D$33,'قیف و آزمایش‌ها'!$A$14:$A$33,B$54)=0,"n.a.",SUMIFS('قیف و آزمایش‌ها'!$H$14:$H$33,'قیف و آزمایش‌ها'!$A$14:$A$33,B$54)/SUMIFS('قیف و آزمایش‌ها'!$D$14:$D$33,'قیف و آزمایش‌ها'!$A$14:$A$33,B$54))</x:f>
        <x:v>0.018999895604969202</x:v>
      </x:c>
      <x:c r="C72" s="83" t="n">
        <x:f>IF(SUMIFS('قیف و آزمایش‌ها'!$D$14:$D$33,'قیف و آزمایش‌ها'!$A$14:$A$33,C$54)=0,"n.a.",SUMIFS('قیف و آزمایش‌ها'!$H$14:$H$33,'قیف و آزمایش‌ها'!$A$14:$A$33,C$54)/SUMIFS('قیف و آزمایش‌ها'!$D$14:$D$33,'قیف و آزمایش‌ها'!$A$14:$A$33,C$54))</x:f>
        <x:v>0.019149751053236307</x:v>
      </x:c>
      <x:c r="D72" s="83" t="n">
        <x:f>IF(SUMIFS('قیف و آزمایش‌ها'!$D$14:$D$33,'قیف و آزمایش‌ها'!$A$14:$A$33,D$54)=0,"n.a.",SUMIFS('قیف و آزمایش‌ها'!$H$14:$H$33,'قیف و آزمایش‌ها'!$A$14:$A$33,D$54)/SUMIFS('قیف و آزمایش‌ها'!$D$14:$D$33,'قیف و آزمایش‌ها'!$A$14:$A$33,D$54))</x:f>
        <x:v>0.01930057547587428</x:v>
      </x:c>
      <x:c r="E72" s="83" t="n">
        <x:f>IF(SUMIFS('قیف و آزمایش‌ها'!$D$14:$D$33,'قیف و آزمایش‌ها'!$A$14:$A$33,E$54)=0,"n.a.",SUMIFS('قیف و آزمایش‌ها'!$H$14:$H$33,'قیف و آزمایش‌ها'!$A$14:$A$33,E$54)/SUMIFS('قیف و آزمایش‌ها'!$D$14:$D$33,'قیف و آزمایش‌ها'!$A$14:$A$33,E$54))</x:f>
        <x:v>0.019449480797758364</x:v>
      </x:c>
      <x:c r="F72" s="83" t="n">
        <x:f>IF(SUMIFS('قیف و آزمایش‌ها'!$D$14:$D$33,'قیف و آزمایش‌ها'!$A$14:$A$33,F$54)=0,"n.a.",SUMIFS('قیف و آزمایش‌ها'!$H$14:$H$33,'قیف و آزمایش‌ها'!$A$14:$A$33,F$54)/SUMIFS('قیف و آزمایش‌ها'!$D$14:$D$33,'قیف و آزمایش‌ها'!$A$14:$A$33,F$54))</x:f>
        <x:v>0.01960030745580323</x:v>
      </x:c>
      <x:c r="G72" s="83" t="n">
        <x:f>IF(SUMIFS('قیف و آزمایش‌ها'!$D$14:$D$33,'قیف و آزمایش‌ها'!$A$14:$A$33,G$54)=0,"n.a.",SUMIFS('قیف و آزمایش‌ها'!$H$14:$H$33,'قیف و آزمایش‌ها'!$A$14:$A$33,G$54)/SUMIFS('قیف و آزمایش‌ها'!$D$14:$D$33,'قیف و آزمایش‌ها'!$A$14:$A$33,G$54))</x:f>
        <x:v>0.01974969254141648</x:v>
      </x:c>
      <x:c r="H72" s="83" t="n">
        <x:f>IF(SUMIFS('قیف و آزمایش‌ها'!$D$14:$D$33,'قیف و آزمایش‌ها'!$A$14:$A$33,H$54)=0,"n.a.",SUMIFS('قیف و آزمایش‌ها'!$H$14:$H$33,'قیف و آزمایش‌ها'!$A$14:$A$33,H$54)/SUMIFS('قیف و آزمایش‌ها'!$D$14:$D$33,'قیف و آزمایش‌ها'!$A$14:$A$33,H$54))</x:f>
        <x:v>0.019900157286466526</x:v>
      </x:c>
      <x:c r="I72" s="83" t="n">
        <x:f>IF(SUMIFS('قیف و آزمایش‌ها'!$D$14:$D$33,'قیف و آزمایش‌ها'!$A$14:$A$33,I$54)=0,"n.a.",SUMIFS('قیف و آزمایش‌ها'!$H$14:$H$33,'قیف و آزمایش‌ها'!$A$14:$A$33,I$54)/SUMIFS('قیف و آزمایش‌ها'!$D$14:$D$33,'قیف و آزمایش‌ها'!$A$14:$A$33,I$54))</x:f>
        <x:v>0.020050613198364806</x:v>
      </x:c>
      <x:c r="J72" s="83" t="n">
        <x:f>IF(SUMIFS('قیف و آزمایش‌ها'!$D$14:$D$33,'قیف و آزمایش‌ها'!$A$14:$A$33,J$54)=0,"n.a.",SUMIFS('قیف و آزمایش‌ها'!$H$14:$H$33,'قیف و آزمایش‌ها'!$A$14:$A$33,J$54)/SUMIFS('قیف و آزمایش‌ها'!$D$14:$D$33,'قیف و آزمایش‌ها'!$A$14:$A$33,J$54))</x:f>
        <x:v>0.020200148257968866</x:v>
      </x:c>
      <x:c r="K72" s="83" t="n">
        <x:f>IF(SUMIFS('قیف و آزمایش‌ها'!$D$14:$D$33,'قیف و آزمایش‌ها'!$A$14:$A$33,K$54)=0,"n.a.",SUMIFS('قیف و آزمایش‌ها'!$H$14:$H$33,'قیف و آزمایش‌ها'!$A$14:$A$33,K$54)/SUMIFS('قیف و آزمایش‌ها'!$D$14:$D$33,'قیف و آزمایش‌ها'!$A$14:$A$33,K$54))</x:f>
        <x:v>0.020350380463634753</x:v>
      </x:c>
      <x:c r="L72" s="83" t="n">
        <x:f>IF(SUMIFS('قیف و آزمایش‌ها'!$D$14:$D$33,'قیف و آزمایش‌ها'!$A$14:$A$33,L$54)=0,"n.a.",SUMIFS('قیف و آزمایش‌ها'!$H$14:$H$33,'قیف و آزمایش‌ها'!$A$14:$A$33,L$54)/SUMIFS('قیف و آزمایش‌ها'!$D$14:$D$33,'قیف و آزمایش‌ها'!$A$14:$A$33,L$54))</x:f>
        <x:v>0.020500112637981526</x:v>
      </x:c>
      <x:c r="M72" s="83" t="n">
        <x:f>IF(SUMIFS('قیف و آزمایش‌ها'!$D$14:$D$33,'قیف و آزمایش‌ها'!$A$14:$A$33,M$54)=0,"n.a.",SUMIFS('قیف و آزمایش‌ها'!$H$14:$H$33,'قیف و آزمایش‌ها'!$A$14:$A$33,M$54)/SUMIFS('قیف و آزمایش‌ها'!$D$14:$D$33,'قیف و آزمایش‌ها'!$A$14:$A$33,M$54))</x:f>
        <x:v>0.02064976485215417</x:v>
      </x:c>
      <x:c r="N72" s="83" t="n">
        <x:f>IF(SUM('قیف و آزمایش‌ها'!$D$14:$D$33)=0,"n.a.",SUM('قیف و آزمایش‌ها'!$H$14:$H$33)/SUM('قیف و آزمایش‌ها'!$D$14:$D$33))</x:f>
        <x:v>0.019927525557552367</x:v>
      </x:c>
      <x:c r="O72" s="16" t="str">
        <x:v>قیف و آزمایش‌ها</x:v>
      </x:c>
      <x:c r="P72" s="3"/>
      <x:c r="Q72" s="3"/>
      <x:c r="R72" s="3"/>
      <x:c r="S72" s="3"/>
    </x:row>
    <x:row r="73" ht="15" hidden="0" customHeight="1">
      <x:c r="A73" s="16" t="str">
        <x:v>پوشش موجودی هفته</x:v>
      </x:c>
      <x:c r="B73" s="239" t="n">
        <x:f>IF(OR(NOT(ISNUMBER(B66)),B66=0),"n.a.",SUMIFS('محصول و کانال'!$AH$9:$AH$88,'محصول و کانال'!$B$9:$B$88,B$54)/(B66/4.33))</x:f>
        <x:v>15.155000000000001</x:v>
      </x:c>
      <x:c r="C73" s="239" t="n">
        <x:f>IF(OR(NOT(ISNUMBER(C66)),C66=0),"n.a.",SUMIFS('محصول و کانال'!$AH$9:$AH$88,'محصول و کانال'!$B$9:$B$88,C$54)/(C66/4.33))</x:f>
        <x:v>9.447272727272727</x:v>
      </x:c>
      <x:c r="D73" s="239" t="n">
        <x:f>IF(OR(NOT(ISNUMBER(D66)),D66=0),"n.a.",SUMIFS('محصول و کانال'!$AH$9:$AH$88,'محصول و کانال'!$B$9:$B$88,D$54)/(D66/4.33))</x:f>
        <x:v>4.33</x:v>
      </x:c>
      <x:c r="E73" s="239" t="n">
        <x:f>IF(OR(NOT(ISNUMBER(E66)),E66=0),"n.a.",SUMIFS('محصول و کانال'!$AH$9:$AH$88,'محصول و کانال'!$B$9:$B$88,E$54)/(E66/4.33))</x:f>
        <x:v>14.655384615384616</x:v>
      </x:c>
      <x:c r="F73" s="239" t="n">
        <x:f>IF(OR(NOT(ISNUMBER(F66)),F66=0),"n.a.",SUMIFS('محصول و کانال'!$AH$9:$AH$88,'محصول و کانال'!$B$9:$B$88,F$54)/(F66/4.33))</x:f>
        <x:v>9.278571428571428</x:v>
      </x:c>
      <x:c r="G73" s="239" t="n">
        <x:f>IF(OR(NOT(ISNUMBER(G66)),G66=0),"n.a.",SUMIFS('محصول و کانال'!$AH$9:$AH$88,'محصول و کانال'!$B$9:$B$88,G$54)/(G66/4.33))</x:f>
        <x:v>4.33</x:v>
      </x:c>
      <x:c r="H73" s="239" t="n">
        <x:f>IF(OR(NOT(ISNUMBER(H66)),H66=0),"n.a.",SUMIFS('محصول و کانال'!$AH$9:$AH$88,'محصول و کانال'!$B$9:$B$88,H$54)/(H66/4.33))</x:f>
        <x:v>13.260625000000001</x:v>
      </x:c>
      <x:c r="I73" s="239" t="n">
        <x:f>IF(OR(NOT(ISNUMBER(I66)),I66=0),"n.a.",SUMIFS('محصول و کانال'!$AH$9:$AH$88,'محصول و کانال'!$B$9:$B$88,I$54)/(I66/4.33))</x:f>
        <x:v>8.15058823529412</x:v>
      </x:c>
      <x:c r="J73" s="239" t="n">
        <x:f>IF(OR(NOT(ISNUMBER(J66)),J66=0),"n.a.",SUMIFS('محصول و کانال'!$AH$9:$AH$88,'محصول و کانال'!$B$9:$B$88,J$54)/(J66/4.33))</x:f>
        <x:v>3.3677777777777775</x:v>
      </x:c>
      <x:c r="K73" s="239" t="n">
        <x:f>IF(OR(NOT(ISNUMBER(K66)),K66=0),"n.a.",SUMIFS('محصول و کانال'!$AH$9:$AH$88,'محصول و کانال'!$B$9:$B$88,K$54)/(K66/4.33))</x:f>
        <x:v>12.534210526315789</x:v>
      </x:c>
      <x:c r="L73" s="239" t="n">
        <x:f>IF(OR(NOT(ISNUMBER(L66)),L66=0),"n.a.",SUMIFS('محصول و کانال'!$AH$9:$AH$88,'محصول و کانال'!$B$9:$B$88,L$54)/(L66/4.33))</x:f>
        <x:v>7.577500000000001</x:v>
      </x:c>
      <x:c r="M73" s="239" t="n">
        <x:f>IF(OR(NOT(ISNUMBER(M66)),M66=0),"n.a.",SUMIFS('محصول و کانال'!$AH$9:$AH$88,'محصول و کانال'!$B$9:$B$88,M$54)/(M66/4.33))</x:f>
        <x:v>2.8866666666666667</x:v>
      </x:c>
      <x:c r="N73" s="239" t="n">
        <x:f>'محصول و کانال'!$E$5</x:f>
        <x:v>2.8866666666666667</x:v>
      </x:c>
      <x:c r="O73" s="16" t="str">
        <x:v>محصول و کانال</x:v>
      </x:c>
      <x:c r="P73" s="3"/>
      <x:c r="Q73" s="3"/>
      <x:c r="R73" s="3"/>
      <x:c r="S73" s="3"/>
    </x:row>
    <x:row r="74" ht="15" hidden="0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15" hidden="0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15" hidden="0" customHeight="1">
      <x:c r="A76" s="26" t="str">
        <x:v>کنترل‌های مدل</x:v>
      </x:c>
      <x:c r="B76" s="27" t="str">
        <x:v>کنترل‌های مدل</x:v>
      </x:c>
      <x:c r="C76" s="27" t="str">
        <x:v>کنترل‌های مدل</x:v>
      </x:c>
      <x:c r="D76" s="27" t="str">
        <x:v>کنترل‌های مدل</x:v>
      </x:c>
      <x:c r="E76" s="28" t="str">
        <x:v>کنترل‌های مدل</x:v>
      </x:c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15" hidden="0" customHeight="1">
      <x:c r="A77" s="41" t="str">
        <x:v>کنترل</x:v>
      </x:c>
      <x:c r="B77" s="41" t="str">
        <x:v>اختلاف</x:v>
      </x:c>
      <x:c r="C77" s="41" t="str">
        <x:v>تلرانس</x:v>
      </x:c>
      <x:c r="D77" s="41" t="str">
        <x:v>وضعیت</x:v>
      </x:c>
      <x:c r="E77" s="41" t="str">
        <x:v>اقدام</x:v>
      </x:c>
      <x:c r="F77" s="3"/>
      <x:c r="G77" s="252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77" s="253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77" s="254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77" s="3"/>
      <x:c r="Q77" s="3"/>
      <x:c r="R77" s="3"/>
      <x:c r="S77" s="3"/>
    </x:row>
    <x:row r="78" ht="15" hidden="0" customHeight="1">
      <x:c r="A78" s="16" t="str">
        <x:v>پل فروش خالص</x:v>
      </x:c>
      <x:c r="B78" s="242" t="n">
        <x:f>SUM('محصول و کانال'!$Q$9:$Q$88)-(SUM('محصول و کانال'!$P$9:$P$88)-SUM('محصول و کانال'!$N$9:$N$88)-SUM('محصول و کانال'!$O$9:$O$88))</x:f>
        <x:v>0</x:v>
      </x:c>
      <x:c r="C78" s="243" t="n">
        <x:v>0.01</x:v>
      </x:c>
      <x:c r="D78" s="16" t="str">
        <x:f>IF(ABS(B78)&lt;=C78,"تأیید","نقص")</x:f>
        <x:v>تأیید</x:v>
      </x:c>
      <x:c r="E78" s="16" t="str">
        <x:v>اجزای فروش را بررسی کنید.</x:v>
      </x:c>
      <x:c r="F78" s="3"/>
      <x:c r="G78" s="255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78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78" s="257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78" s="3"/>
      <x:c r="Q78" s="3"/>
      <x:c r="R78" s="3"/>
      <x:c r="S78" s="3"/>
    </x:row>
    <x:row r="79" ht="15" hidden="0" customHeight="1">
      <x:c r="A79" s="16" t="str">
        <x:v>پل CM1</x:v>
      </x:c>
      <x:c r="B79" s="242" t="n">
        <x:f>SUM('محصول و کانال'!$AA$9:$AA$88)-(SUM('محصول و کانال'!$Q$9:$Q$88)-SUM('محصول و کانال'!$S$9:$S$88)-SUM('محصول و کانال'!$U$9:$U$88)-SUM('محصول و کانال'!$V$9:$V$88)-SUM('محصول و کانال'!$W$9:$W$88)-SUM('محصول و کانال'!$X$9:$X$88)-SUM('محصول و کانال'!$Z$9:$Z$88))</x:f>
        <x:v>0</x:v>
      </x:c>
      <x:c r="C79" s="243" t="n">
        <x:v>0.01</x:v>
      </x:c>
      <x:c r="D79" s="16" t="str">
        <x:f>IF(ABS(B79)&lt;=C79,"تأیید","نقص")</x:f>
        <x:v>تأیید</x:v>
      </x:c>
      <x:c r="E79" s="16" t="str">
        <x:v>لایه هزینه متغیر را بررسی کنید.</x:v>
      </x:c>
      <x:c r="F79" s="3"/>
      <x:c r="G79" s="255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79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79" s="257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79" s="3"/>
      <x:c r="Q79" s="3"/>
      <x:c r="R79" s="3"/>
      <x:c r="S79" s="3"/>
    </x:row>
    <x:row r="80" ht="15" hidden="0" customHeight="1">
      <x:c r="A80" s="16" t="str">
        <x:v>پل CM2</x:v>
      </x:c>
      <x:c r="B80" s="242" t="n">
        <x:f>SUM('محصول و کانال'!$AB$9:$AB$88)-(SUM('محصول و کانال'!$AA$9:$AA$88)-SUM('محصول و کانال'!$Y$9:$Y$88))</x:f>
        <x:v>0</x:v>
      </x:c>
      <x:c r="C80" s="243" t="n">
        <x:v>0.01</x:v>
      </x:c>
      <x:c r="D80" s="16" t="str">
        <x:f>IF(ABS(B80)&lt;=C80,"تأیید","نقص")</x:f>
        <x:v>تأیید</x:v>
      </x:c>
      <x:c r="E80" s="16" t="str">
        <x:v>هزینه جذب را دوباره نشمارید.</x:v>
      </x:c>
      <x:c r="F80" s="3"/>
      <x:c r="G80" s="255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80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80" s="257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80" s="3"/>
      <x:c r="Q80" s="3"/>
      <x:c r="R80" s="3"/>
      <x:c r="S80" s="3"/>
    </x:row>
    <x:row r="81" ht="15" hidden="0" customHeight="1">
      <x:c r="A81" s="16" t="str">
        <x:v>سفارش قیف و مالی</x:v>
      </x:c>
      <x:c r="B81" s="242" t="n">
        <x:f>'قیف و آزمایش‌ها'!$O$5</x:f>
        <x:v>0</x:v>
      </x:c>
      <x:c r="C81" s="243" t="n">
        <x:v>0</x:v>
      </x:c>
      <x:c r="D81" s="16" t="str">
        <x:f>IF(ABS(B81)&lt;=C81,"تأیید","نقص")</x:f>
        <x:v>تأیید</x:v>
      </x:c>
      <x:c r="E81" s="16" t="str">
        <x:v>ماه و کانال دو شیت را تطبیق دهید.</x:v>
      </x:c>
      <x:c r="F81" s="3"/>
      <x:c r="G81" s="255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81" s="256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81" s="257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81" s="3"/>
      <x:c r="Q81" s="3"/>
      <x:c r="R81" s="3"/>
      <x:c r="S81" s="3"/>
    </x:row>
    <x:row r="82" ht="15" hidden="0" customHeight="1">
      <x:c r="A82" s="16" t="str">
        <x:v>گردش مانده نقد</x:v>
      </x:c>
      <x:c r="B82" s="242" t="n">
        <x:f>'تقویم نقد'!$N$24-('فرض‌ها و منابع'!$B$10+SUM('تقویم نقد'!$B$13:$N$13)-SUM('تقویم نقد'!$B$22:$N$22))</x:f>
        <x:v>0</x:v>
      </x:c>
      <x:c r="C82" s="243" t="n">
        <x:v>0.01</x:v>
      </x:c>
      <x:c r="D82" s="16" t="str">
        <x:f>IF(ABS(B82)&lt;=C82,"تأیید","نقص")</x:f>
        <x:v>تأیید</x:v>
      </x:c>
      <x:c r="E82" s="16" t="str">
        <x:v>تاریخ و مبلغ رویدادها را بررسی کنید.</x:v>
      </x:c>
      <x:c r="F82" s="3"/>
      <x:c r="G82" s="258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H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I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J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K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L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M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N82" s="259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O82" s="260" t="str">
        <x:v>وضعیت «نمونه آموزشی» یک هشدار منبع است، نه خطای فرمول. پیش از تصمیم واقعی، SRC-DEMO و تمام سلول‌های نمونه را با داده مستند جایگزین کنید.</x:v>
      </x:c>
      <x:c r="P82" s="3"/>
      <x:c r="Q82" s="3"/>
      <x:c r="R82" s="3"/>
      <x:c r="S82" s="3"/>
    </x:row>
    <x:row r="83" ht="15" hidden="0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</x:row>
    <x:row r="84" ht="15" hidden="0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</x:row>
  </x:sheetData>
  <x:mergeCells>
    <x:mergeCell ref="A1:O2"/>
    <x:mergeCell ref="A3:O3"/>
    <x:mergeCell ref="B4:C4"/>
    <x:mergeCell ref="E4:F4"/>
    <x:mergeCell ref="H4:J4"/>
    <x:mergeCell ref="L4:M4"/>
    <x:mergeCell ref="N4:O4"/>
    <x:mergeCell ref="A6:O6"/>
    <x:mergeCell ref="A8:C8"/>
    <x:mergeCell ref="A9:C9"/>
    <x:mergeCell ref="A10:C10"/>
    <x:mergeCell ref="A11:C11"/>
    <x:mergeCell ref="A13:C13"/>
    <x:mergeCell ref="A14:C14"/>
    <x:mergeCell ref="A15:C15"/>
    <x:mergeCell ref="A16:C16"/>
    <x:mergeCell ref="D8:F8"/>
    <x:mergeCell ref="D9:F9"/>
    <x:mergeCell ref="D10:F10"/>
    <x:mergeCell ref="D11:F11"/>
    <x:mergeCell ref="D13:F13"/>
    <x:mergeCell ref="D14:F14"/>
    <x:mergeCell ref="D15:F15"/>
    <x:mergeCell ref="D16:F16"/>
    <x:mergeCell ref="G8:I8"/>
    <x:mergeCell ref="G9:I9"/>
    <x:mergeCell ref="G10:I10"/>
    <x:mergeCell ref="G11:I11"/>
    <x:mergeCell ref="G13:I13"/>
    <x:mergeCell ref="G14:I14"/>
    <x:mergeCell ref="G15:I15"/>
    <x:mergeCell ref="G16:I16"/>
    <x:mergeCell ref="J8:L8"/>
    <x:mergeCell ref="J9:L9"/>
    <x:mergeCell ref="J10:L10"/>
    <x:mergeCell ref="J11:L11"/>
    <x:mergeCell ref="J13:L13"/>
    <x:mergeCell ref="J14:L14"/>
    <x:mergeCell ref="J15:L15"/>
    <x:mergeCell ref="J16:L16"/>
    <x:mergeCell ref="M8:O8"/>
    <x:mergeCell ref="M9:O9"/>
    <x:mergeCell ref="M10:O10"/>
    <x:mergeCell ref="M11:O11"/>
    <x:mergeCell ref="M13:O13"/>
    <x:mergeCell ref="M14:O14"/>
    <x:mergeCell ref="M15:O15"/>
    <x:mergeCell ref="M16:O16"/>
    <x:mergeCell ref="A18:F18"/>
    <x:mergeCell ref="E19:F19"/>
    <x:mergeCell ref="E20:F20"/>
    <x:mergeCell ref="E21:F21"/>
    <x:mergeCell ref="E22:F22"/>
    <x:mergeCell ref="E23:F23"/>
    <x:mergeCell ref="E24:F24"/>
    <x:mergeCell ref="E25:F25"/>
    <x:mergeCell ref="E26:F26"/>
    <x:mergeCell ref="E27:F27"/>
    <x:mergeCell ref="E28:F28"/>
    <x:mergeCell ref="E29:F29"/>
    <x:mergeCell ref="E30:F30"/>
    <x:mergeCell ref="E31:F31"/>
    <x:mergeCell ref="E32:F32"/>
    <x:mergeCell ref="E33:F33"/>
    <x:mergeCell ref="E34:F34"/>
    <x:mergeCell ref="A53:O53"/>
    <x:mergeCell ref="A76:E76"/>
    <x:mergeCell ref="G77:O82"/>
  </x:mergeCells>
  <x:conditionalFormatting sqref="B4:J4">
    <x:cfRule type="containsText" dxfId="404" priority="1" operator="containsText" text="قرمز"/>
    <x:cfRule type="containsText" dxfId="405" priority="2" operator="containsText" text="بحرانی"/>
    <x:cfRule type="containsText" dxfId="406" priority="3" operator="containsText" text="رد"/>
    <x:cfRule type="containsText" dxfId="407" priority="4" operator="containsText" text="متوقف"/>
    <x:cfRule type="containsText" dxfId="408" priority="5" operator="containsText" text="عقب‌افتاده"/>
    <x:cfRule type="containsText" dxfId="409" priority="6" operator="containsText" text="نامعتبر"/>
    <x:cfRule type="containsText" dxfId="410" priority="7" operator="containsText" text="زرد"/>
    <x:cfRule type="containsText" dxfId="411" priority="8" operator="containsText" text="باز"/>
    <x:cfRule type="containsText" dxfId="412" priority="9" operator="containsText" text="نیازمند اصلاح"/>
    <x:cfRule type="containsText" dxfId="413" priority="10" operator="containsText" text="در انتظار"/>
    <x:cfRule type="containsText" dxfId="414" priority="11" operator="containsText" text="نمونه آموزشی"/>
    <x:cfRule type="containsText" dxfId="415" priority="12" operator="containsText" text="سبز"/>
    <x:cfRule type="containsText" dxfId="416" priority="13" operator="containsText" text="بسته"/>
    <x:cfRule type="containsText" dxfId="417" priority="14" operator="containsText" text="تأیید"/>
    <x:cfRule type="containsText" dxfId="418" priority="15" operator="containsText" text="آزادشده"/>
    <x:cfRule type="containsText" dxfId="419" priority="16" operator="containsText" text="انجام‌شده"/>
    <x:cfRule type="containsText" dxfId="420" priority="17" operator="containsText" text="خاکستری"/>
    <x:cfRule type="containsText" dxfId="421" priority="18" operator="containsText" text="نابالغ"/>
    <x:cfRule type="containsText" dxfId="422" priority="19" operator="containsText" text="پنجره کامل نشده"/>
    <x:cfRule type="containsText" dxfId="423" priority="20" operator="containsText" text="n.a."/>
  </x:conditionalFormatting>
  <x:conditionalFormatting sqref="A8:O16">
    <x:cfRule type="containsText" dxfId="424" priority="21" operator="containsText" text="قرمز"/>
    <x:cfRule type="containsText" dxfId="425" priority="22" operator="containsText" text="بحرانی"/>
    <x:cfRule type="containsText" dxfId="426" priority="23" operator="containsText" text="رد"/>
    <x:cfRule type="containsText" dxfId="427" priority="24" operator="containsText" text="متوقف"/>
    <x:cfRule type="containsText" dxfId="428" priority="25" operator="containsText" text="عقب‌افتاده"/>
    <x:cfRule type="containsText" dxfId="429" priority="26" operator="containsText" text="نامعتبر"/>
    <x:cfRule type="containsText" dxfId="430" priority="27" operator="containsText" text="زرد"/>
    <x:cfRule type="containsText" dxfId="431" priority="28" operator="containsText" text="باز"/>
    <x:cfRule type="containsText" dxfId="432" priority="29" operator="containsText" text="نیازمند اصلاح"/>
    <x:cfRule type="containsText" dxfId="433" priority="30" operator="containsText" text="در انتظار"/>
    <x:cfRule type="containsText" dxfId="434" priority="31" operator="containsText" text="نمونه آموزشی"/>
    <x:cfRule type="containsText" dxfId="435" priority="32" operator="containsText" text="سبز"/>
    <x:cfRule type="containsText" dxfId="436" priority="33" operator="containsText" text="بسته"/>
    <x:cfRule type="containsText" dxfId="437" priority="34" operator="containsText" text="تأیید"/>
    <x:cfRule type="containsText" dxfId="438" priority="35" operator="containsText" text="آزادشده"/>
    <x:cfRule type="containsText" dxfId="439" priority="36" operator="containsText" text="انجام‌شده"/>
    <x:cfRule type="containsText" dxfId="440" priority="37" operator="containsText" text="خاکستری"/>
    <x:cfRule type="containsText" dxfId="441" priority="38" operator="containsText" text="نابالغ"/>
    <x:cfRule type="containsText" dxfId="442" priority="39" operator="containsText" text="پنجره کامل نشده"/>
    <x:cfRule type="containsText" dxfId="443" priority="40" operator="containsText" text="n.a."/>
  </x:conditionalFormatting>
  <x:conditionalFormatting sqref="B63:N63">
    <x:cfRule type="cellIs" dxfId="444" priority="41" operator="lessThan">
      <x:formula>0</x:formula>
    </x:cfRule>
  </x:conditionalFormatting>
  <x:conditionalFormatting sqref="B71:N71">
    <x:cfRule type="cellIs" dxfId="445" priority="42" operator="greaterThan">
      <x:formula>'فرض‌ها و منابع'!$B$15</x:formula>
    </x:cfRule>
  </x:conditionalFormatting>
  <x:conditionalFormatting sqref="D78:D82">
    <x:cfRule type="containsText" dxfId="446" priority="43" operator="containsText" text="قرمز"/>
    <x:cfRule type="containsText" dxfId="447" priority="44" operator="containsText" text="بحرانی"/>
    <x:cfRule type="containsText" dxfId="448" priority="45" operator="containsText" text="رد"/>
    <x:cfRule type="containsText" dxfId="449" priority="46" operator="containsText" text="متوقف"/>
    <x:cfRule type="containsText" dxfId="450" priority="47" operator="containsText" text="عقب‌افتاده"/>
    <x:cfRule type="containsText" dxfId="451" priority="48" operator="containsText" text="نامعتبر"/>
    <x:cfRule type="containsText" dxfId="452" priority="49" operator="containsText" text="زرد"/>
    <x:cfRule type="containsText" dxfId="453" priority="50" operator="containsText" text="باز"/>
    <x:cfRule type="containsText" dxfId="454" priority="51" operator="containsText" text="نیازمند اصلاح"/>
    <x:cfRule type="containsText" dxfId="455" priority="52" operator="containsText" text="در انتظار"/>
    <x:cfRule type="containsText" dxfId="456" priority="53" operator="containsText" text="نمونه آموزشی"/>
    <x:cfRule type="containsText" dxfId="457" priority="54" operator="containsText" text="سبز"/>
    <x:cfRule type="containsText" dxfId="458" priority="55" operator="containsText" text="بسته"/>
    <x:cfRule type="containsText" dxfId="459" priority="56" operator="containsText" text="تأیید"/>
    <x:cfRule type="containsText" dxfId="460" priority="57" operator="containsText" text="آزادشده"/>
    <x:cfRule type="containsText" dxfId="461" priority="58" operator="containsText" text="انجام‌شده"/>
    <x:cfRule type="containsText" dxfId="462" priority="59" operator="containsText" text="خاکستری"/>
    <x:cfRule type="containsText" dxfId="463" priority="60" operator="containsText" text="نابالغ"/>
    <x:cfRule type="containsText" dxfId="464" priority="61" operator="containsText" text="پنجره کامل نشده"/>
    <x:cfRule type="containsText" dxfId="465" priority="62" operator="containsText" text="n.a."/>
  </x:conditionalFormatting>
  <x:pageMargins left="0.7" right="0.7" top="0.75" bottom="0.75" header="0.3" footer="0.3"/>
  <x:drawing xmlns:r="http://schemas.openxmlformats.org/officeDocument/2006/relationships" r:id="R7cfbbe8da6e54033"/>
</x:worksheet>
</file>

<file path=xl/worksheets/sheet2.xml><?xml version="1.0" encoding="utf-8"?>
<x:worksheet xmlns:x="http://schemas.openxmlformats.org/spreadsheetml/2006/main">
  <x:sheetPr>
    <x:tabColor rgb="FF0B607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27" hidden="0" customWidth="1"/>
    <x:col min="3" max="3" width="25" hidden="0" customWidth="1"/>
    <x:col min="4" max="4" width="16" hidden="0" customWidth="1"/>
    <x:col min="5" max="5" width="17" hidden="0" customWidth="1"/>
    <x:col min="6" max="6" width="34" hidden="0" customWidth="1"/>
    <x:col min="7" max="7" width="24" hidden="0" customWidth="1"/>
    <x:col min="8" max="8" width="20" hidden="0" customWidth="1"/>
  </x:cols>
  <x:sheetData>
    <x:row r="1" ht="34" customHeight="1">
      <x:c r="A1" s="7" t="str">
        <x:v>T07 | فرض‌ها، منابع و قرارداد تعریف شاخص‌ها</x:v>
      </x:c>
      <x:c r="B1" s="7" t="str">
        <x:v>T07 | فرض‌ها، منابع و قرارداد تعریف شاخص‌ها</x:v>
      </x:c>
      <x:c r="C1" s="7" t="str">
        <x:v>T07 | فرض‌ها، منابع و قرارداد تعریف شاخص‌ها</x:v>
      </x:c>
      <x:c r="D1" s="7" t="str">
        <x:v>T07 | فرض‌ها، منابع و قرارداد تعریف شاخص‌ها</x:v>
      </x:c>
      <x:c r="E1" s="7" t="str">
        <x:v>T07 | فرض‌ها، منابع و قرارداد تعریف شاخص‌ها</x:v>
      </x:c>
      <x:c r="F1" s="7" t="str">
        <x:v>T07 | فرض‌ها، منابع و قرارداد تعریف شاخص‌ها</x:v>
      </x:c>
      <x:c r="G1" s="7" t="str">
        <x:v>T07 | فرض‌ها، منابع و قرارداد تعریف شاخص‌ها</x:v>
      </x:c>
      <x:c r="H1" s="7" t="str">
        <x:v>T07 | فرض‌ها، منابع و قرارداد تعریف شاخص‌ها</x:v>
      </x:c>
    </x:row>
    <x:row r="2" ht="34" customHeight="1">
      <x:c r="A2" s="7" t="str">
        <x:v>T07 | فرض‌ها، منابع و قرارداد تعریف شاخص‌ها</x:v>
      </x:c>
      <x:c r="B2" s="7" t="str">
        <x:v>T07 | فرض‌ها، منابع و قرارداد تعریف شاخص‌ها</x:v>
      </x:c>
      <x:c r="C2" s="7" t="str">
        <x:v>T07 | فرض‌ها، منابع و قرارداد تعریف شاخص‌ها</x:v>
      </x:c>
      <x:c r="D2" s="7" t="str">
        <x:v>T07 | فرض‌ها، منابع و قرارداد تعریف شاخص‌ها</x:v>
      </x:c>
      <x:c r="E2" s="7" t="str">
        <x:v>T07 | فرض‌ها، منابع و قرارداد تعریف شاخص‌ها</x:v>
      </x:c>
      <x:c r="F2" s="7" t="str">
        <x:v>T07 | فرض‌ها، منابع و قرارداد تعریف شاخص‌ها</x:v>
      </x:c>
      <x:c r="G2" s="7" t="str">
        <x:v>T07 | فرض‌ها، منابع و قرارداد تعریف شاخص‌ها</x:v>
      </x:c>
      <x:c r="H2" s="7" t="str">
        <x:v>T07 | فرض‌ها، منابع و قرارداد تعریف شاخص‌ها</x:v>
      </x:c>
    </x:row>
    <x:row r="3" ht="15" hidden="0" customHeight="1">
      <x:c r="A3" s="13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B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C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D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E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F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G3" s="14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  <x:c r="H3" s="15" t="str">
        <x:v>فقط سلول‌های زرد ورودی‌اند. همه مبالغ به تومان ثبت می‌شوند. داده نمونه را پیش از استفاده واقعی با داده مستند پروژه جایگزین کنید.</x:v>
      </x:c>
    </x:row>
    <x:row r="4" ht="15" hidden="0" customHeight="1">
      <x:c r="A4" s="17" t="str">
        <x:v>آخرین به‌روزرسانی</x:v>
      </x:c>
      <x:c r="B4" s="18" t="n">
        <x:v>46280</x:v>
      </x:c>
      <x:c r="C4" s="17" t="str">
        <x:v>نسخه</x:v>
      </x:c>
      <x:c r="D4" s="16" t="str">
        <x:v>1.0</x:v>
      </x:c>
      <x:c r="E4" s="17" t="str">
        <x:v>واحد پول</x:v>
      </x:c>
      <x:c r="F4" s="16" t="str">
        <x:v>تومان</x:v>
      </x:c>
      <x:c r="G4" s="17" t="str">
        <x:v>مالک فایل</x:v>
      </x:c>
      <x:c r="H4" s="16" t="str">
        <x:v>مالک کسب‌وکار / مالی</x:v>
      </x:c>
    </x:row>
    <x:row r="5" ht="15" hidden="0" customHeight="1">
      <x:c r="A5" s="16" t="str">
        <x:v>شماره سناریوی فعال</x:v>
      </x:c>
      <x:c r="B5" s="22" t="n">
        <x:v>2</x:v>
      </x:c>
      <x:c r="C5" s="23" t="str">
        <x:f>CHOOSE($B$5,"مساعد","پایه","نامساعد")</x:f>
        <x:v>پایه</x:v>
      </x:c>
      <x:c r="D5" s="23" t="str"/>
      <x:c r="E5" s="16" t="str">
        <x:v>راهنما</x:v>
      </x:c>
      <x:c r="F5" s="16" t="str">
        <x:v>1 مساعد | 2 پایه | 3 نامساعد</x:v>
      </x:c>
      <x:c r="G5" s="16" t="str"/>
      <x:c r="H5" s="16" t="str"/>
    </x:row>
    <x:row r="6" ht="15" hidden="0" customHeight="1">
      <x:c r="A6" s="16" t="str">
        <x:v>وضعیت داده</x:v>
      </x:c>
      <x:c r="B6" s="22" t="str">
        <x:v>نمونه آموزشی: پیش از استفاده واقعی جایگزین شود</x:v>
      </x:c>
      <x:c r="C6" s="16" t="str"/>
      <x:c r="D6" s="16" t="str"/>
      <x:c r="E6" s="16" t="str">
        <x:v>قاعده</x:v>
      </x:c>
      <x:c r="F6" s="16" t="str">
        <x:v>نبود داده با «خاکستری» نمایش داده می‌شود، نه صفر.</x:v>
      </x:c>
      <x:c r="G6" s="16" t="str"/>
      <x:c r="H6" s="16" t="str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</x:row>
    <x:row r="8" ht="15" hidden="0" customHeight="1">
      <x:c r="A8" s="26" t="str">
        <x:v>فرض‌های عمومی و آستانه‌های تصمیم</x:v>
      </x:c>
      <x:c r="B8" s="27" t="str">
        <x:v>فرض‌های عمومی و آستانه‌های تصمیم</x:v>
      </x:c>
      <x:c r="C8" s="27" t="str">
        <x:v>فرض‌های عمومی و آستانه‌های تصمیم</x:v>
      </x:c>
      <x:c r="D8" s="27" t="str">
        <x:v>فرض‌های عمومی و آستانه‌های تصمیم</x:v>
      </x:c>
      <x:c r="E8" s="27" t="str">
        <x:v>فرض‌های عمومی و آستانه‌های تصمیم</x:v>
      </x:c>
      <x:c r="F8" s="27" t="str">
        <x:v>فرض‌های عمومی و آستانه‌های تصمیم</x:v>
      </x:c>
      <x:c r="G8" s="27" t="str">
        <x:v>فرض‌های عمومی و آستانه‌های تصمیم</x:v>
      </x:c>
      <x:c r="H8" s="28" t="str">
        <x:v>فرض‌های عمومی و آستانه‌های تصمیم</x:v>
      </x:c>
    </x:row>
    <x:row r="9" ht="15" hidden="0" customHeight="1">
      <x:c r="A9" s="17" t="str">
        <x:v>ماه شروع گزارش</x:v>
      </x:c>
      <x:c r="B9" s="29" t="n">
        <x:v>46266</x:v>
      </x:c>
      <x:c r="C9" s="16" t="str">
        <x:v>نوع</x:v>
      </x:c>
      <x:c r="D9" s="16" t="str">
        <x:v>کنترل دوره</x:v>
      </x:c>
      <x:c r="E9" s="3"/>
      <x:c r="F9" s="36" t="str">
        <x:v>راهنمای رنگ</x:v>
      </x:c>
      <x:c r="G9" s="36" t="str"/>
      <x:c r="H9" s="36" t="str"/>
    </x:row>
    <x:row r="10" ht="15" hidden="0" customHeight="1">
      <x:c r="A10" s="17" t="str">
        <x:v>مانده نقد آغازین</x:v>
      </x:c>
      <x:c r="B10" s="30" t="n">
        <x:v>300000000</x:v>
      </x:c>
      <x:c r="C10" s="16" t="str">
        <x:v>تومان</x:v>
      </x:c>
      <x:c r="D10" s="16" t="str">
        <x:v>ورودی تقویم نقد</x:v>
      </x:c>
      <x:c r="E10" s="3"/>
      <x:c r="F10" s="16" t="str">
        <x:v>زرد</x:v>
      </x:c>
      <x:c r="G10" s="16" t="str">
        <x:v>ورودی قابل ویرایش</x:v>
      </x:c>
      <x:c r="H10" s="16" t="str"/>
    </x:row>
    <x:row r="11" ht="15" hidden="0" customHeight="1">
      <x:c r="A11" s="17" t="str">
        <x:v>هزینه ثابت ماهانه</x:v>
      </x:c>
      <x:c r="B11" s="30" t="n">
        <x:v>32000000</x:v>
      </x:c>
      <x:c r="C11" s="16" t="str">
        <x:v>تومان</x:v>
      </x:c>
      <x:c r="D11" s="16" t="str">
        <x:v>پس از CM2</x:v>
      </x:c>
      <x:c r="E11" s="3"/>
      <x:c r="F11" s="16" t="str">
        <x:v>سبز</x:v>
      </x:c>
      <x:c r="G11" s="16" t="str">
        <x:v>لینک بین شیت‌ها یا وضعیت مطلوب</x:v>
      </x:c>
      <x:c r="H11" s="16" t="str"/>
    </x:row>
    <x:row r="12" ht="15" hidden="0" customHeight="1">
      <x:c r="A12" s="17" t="str">
        <x:v>سهم فروش نقدی</x:v>
      </x:c>
      <x:c r="B12" s="31" t="n">
        <x:v>0.6</x:v>
      </x:c>
      <x:c r="C12" s="16" t="str">
        <x:v>درصد</x:v>
      </x:c>
      <x:c r="D12" s="16" t="str">
        <x:v>باقی‌مانده اعتباری</x:v>
      </x:c>
      <x:c r="E12" s="3"/>
      <x:c r="F12" s="16" t="str">
        <x:v>خاکستری</x:v>
      </x:c>
      <x:c r="G12" s="16" t="str">
        <x:v>داده نابالغ یا ثبت‌نشده</x:v>
      </x:c>
      <x:c r="H12" s="16" t="str"/>
    </x:row>
    <x:row r="13" ht="15" hidden="0" customHeight="1">
      <x:c r="A13" s="17" t="str">
        <x:v>هدف نسبت CM2</x:v>
      </x:c>
      <x:c r="B13" s="31" t="n">
        <x:v>0.15</x:v>
      </x:c>
      <x:c r="C13" s="16" t="str">
        <x:v>درصد</x:v>
      </x:c>
      <x:c r="D13" s="16" t="str">
        <x:v>آستانه زرد/سبز</x:v>
      </x:c>
      <x:c r="E13" s="3"/>
      <x:c r="F13" s="16" t="str">
        <x:v>قرمز</x:v>
      </x:c>
      <x:c r="G13" s="16" t="str">
        <x:v>عبور از گیت یا وضعیت بحرانی</x:v>
      </x:c>
      <x:c r="H13" s="16" t="str"/>
    </x:row>
    <x:row r="14" ht="15" hidden="0" customHeight="1">
      <x:c r="A14" s="17" t="str">
        <x:v>حداکثر CAC مشتری جدید</x:v>
      </x:c>
      <x:c r="B14" s="30" t="n">
        <x:v>150000</x:v>
      </x:c>
      <x:c r="C14" s="16" t="str">
        <x:v>تومان</x:v>
      </x:c>
      <x:c r="D14" s="16" t="str">
        <x:v>تعریف ثابت</x:v>
      </x:c>
      <x:c r="E14" s="3"/>
      <x:c r="F14" s="16" t="str">
        <x:v>قاعده هزینه</x:v>
      </x:c>
      <x:c r="G14" s="16" t="str">
        <x:v>هر هزینه فقط یک‌بار و در یک لایه ثبت شود.</x:v>
      </x:c>
      <x:c r="H14" s="16" t="str"/>
    </x:row>
    <x:row r="15" ht="15" hidden="0" customHeight="1">
      <x:c r="A15" s="17" t="str">
        <x:v>حداکثر نرخ مرجوعی واحدی</x:v>
      </x:c>
      <x:c r="B15" s="31" t="n">
        <x:v>0.04</x:v>
      </x:c>
      <x:c r="C15" s="16" t="str">
        <x:v>درصد</x:v>
      </x:c>
      <x:c r="D15" s="16" t="str">
        <x:v>پنجره کامل</x:v>
      </x:c>
      <x:c r="E15" s="3"/>
      <x:c r="F15" s="16" t="str">
        <x:v>قاعده تصمیم</x:v>
      </x:c>
      <x:c r="G15" s="16" t="str">
        <x:v>فروش بیشتر با CM2 یا نقد کمتر، موفقیت نیست.</x:v>
      </x:c>
      <x:c r="H15" s="16" t="str"/>
    </x:row>
    <x:row r="16" ht="15" hidden="0" customHeight="1">
      <x:c r="A16" s="17" t="str">
        <x:v>حداکثر پوشش موجودی</x:v>
      </x:c>
      <x:c r="B16" s="32" t="n">
        <x:v>8</x:v>
      </x:c>
      <x:c r="C16" s="16" t="str">
        <x:v>هفته</x:v>
      </x:c>
      <x:c r="D16" s="16" t="str">
        <x:v>کنترل خواب سرمایه</x:v>
      </x:c>
      <x:c r="E16" s="3"/>
      <x:c r="F16" s="3"/>
      <x:c r="G16" s="3"/>
      <x:c r="H16" s="3"/>
    </x:row>
    <x:row r="17" ht="15" hidden="0" customHeight="1">
      <x:c r="A17" s="17" t="str">
        <x:v>روزهای وصول مبنا</x:v>
      </x:c>
      <x:c r="B17" s="32" t="n">
        <x:v>30</x:v>
      </x:c>
      <x:c r="C17" s="16" t="str">
        <x:v>روز</x:v>
      </x:c>
      <x:c r="D17" s="16" t="str">
        <x:v>DSO برنامه</x:v>
      </x:c>
      <x:c r="E17" s="3"/>
      <x:c r="F17" s="3"/>
      <x:c r="G17" s="3"/>
      <x:c r="H17" s="3"/>
    </x:row>
    <x:row r="18" ht="15" hidden="0" customHeight="1">
      <x:c r="A18" s="17" t="str">
        <x:v>روزهای پرداخت تأمین‌کننده</x:v>
      </x:c>
      <x:c r="B18" s="32" t="n">
        <x:v>15</x:v>
      </x:c>
      <x:c r="C18" s="16" t="str">
        <x:v>روز</x:v>
      </x:c>
      <x:c r="D18" s="16" t="str">
        <x:v>تقویم پرداخت</x:v>
      </x:c>
      <x:c r="E18" s="3"/>
      <x:c r="F18" s="3"/>
      <x:c r="G18" s="3"/>
      <x:c r="H18" s="3"/>
    </x:row>
    <x:row r="19" ht="15" hidden="0" customHeight="1">
      <x:c r="A19" s="17" t="str">
        <x:v>هدف نرخ تبدیل کل</x:v>
      </x:c>
      <x:c r="B19" s="31" t="n">
        <x:v>0.025</x:v>
      </x:c>
      <x:c r="C19" s="16" t="str">
        <x:v>درصد</x:v>
      </x:c>
      <x:c r="D19" s="16" t="str">
        <x:v>خط پایه پروژه</x:v>
      </x:c>
      <x:c r="E19" s="3"/>
      <x:c r="F19" s="3"/>
      <x:c r="G19" s="3"/>
      <x:c r="H19" s="3"/>
    </x:row>
    <x:row r="20" ht="15" hidden="0" customHeight="1">
      <x:c r="A20" s="17" t="str">
        <x:v>حداقل مانده نقد</x:v>
      </x:c>
      <x:c r="B20" s="30" t="n">
        <x:v>100000000</x:v>
      </x:c>
      <x:c r="C20" s="16" t="str">
        <x:v>تومان</x:v>
      </x:c>
      <x:c r="D20" s="16" t="str">
        <x:v>گیت نقدینگی</x:v>
      </x:c>
      <x:c r="E20" s="3"/>
      <x:c r="F20" s="3"/>
      <x:c r="G20" s="3"/>
      <x:c r="H20" s="3"/>
    </x:row>
    <x:row r="21" ht="15" hidden="0" customHeight="1">
      <x:c r="A21" s="17" t="str">
        <x:v>حداقل Runway</x:v>
      </x:c>
      <x:c r="B21" s="33" t="n">
        <x:v>3</x:v>
      </x:c>
      <x:c r="C21" s="16" t="str">
        <x:v>ماه</x:v>
      </x:c>
      <x:c r="D21" s="16" t="str">
        <x:v>بر مبنای هزینه ثابت</x:v>
      </x:c>
      <x:c r="E21" s="3"/>
      <x:c r="F21" s="3"/>
      <x:c r="G21" s="3"/>
      <x:c r="H21" s="3"/>
    </x:row>
    <x:row r="22" ht="15" hidden="0" customHeight="1">
      <x:c r="A22" s="17" t="str">
        <x:v>پنجره بلوغ کوهورت</x:v>
      </x:c>
      <x:c r="B22" s="33" t="n">
        <x:v>90</x:v>
      </x:c>
      <x:c r="C22" s="16" t="str">
        <x:v>روز</x:v>
      </x:c>
      <x:c r="D22" s="16" t="str">
        <x:v>برای خرید تکراری</x:v>
      </x:c>
      <x:c r="E22" s="3"/>
      <x:c r="F22" s="3"/>
      <x:c r="G22" s="3"/>
      <x:c r="H22" s="3"/>
    </x:row>
    <x:row r="23" ht="15" hidden="0" customHeight="1">
      <x:c r="A23" s="17" t="str">
        <x:v>شروع بودجه ۱۳ هفته‌ای</x:v>
      </x:c>
      <x:c r="B23" s="29" t="n">
        <x:v>46279</x:v>
      </x:c>
      <x:c r="C23" s="16" t="str">
        <x:v>تاریخ</x:v>
      </x:c>
      <x:c r="D23" s="16" t="str">
        <x:v>اولین روز هفته</x:v>
      </x:c>
      <x:c r="E23" s="3"/>
      <x:c r="F23" s="3"/>
      <x:c r="G23" s="3"/>
      <x:c r="H23" s="3"/>
    </x:row>
    <x:row r="24" ht="15" hidden="0" customHeight="1">
      <x:c r="A24" s="17" t="str">
        <x:v>افق سناریو</x:v>
      </x:c>
      <x:c r="B24" s="33" t="n">
        <x:v>12</x:v>
      </x:c>
      <x:c r="C24" s="16" t="str">
        <x:v>ماه</x:v>
      </x:c>
      <x:c r="D24" s="16" t="str">
        <x:v>دوره مقایسه</x:v>
      </x:c>
      <x:c r="E24" s="3"/>
      <x:c r="F24" s="3"/>
      <x:c r="G24" s="3"/>
      <x:c r="H24" s="3"/>
    </x:row>
    <x:row r="25" ht="15" hidden="0" customHeight="1">
      <x:c r="A25" s="3"/>
      <x:c r="B25" s="3"/>
      <x:c r="C25" s="3"/>
      <x:c r="D25" s="3"/>
      <x:c r="E25" s="3"/>
      <x:c r="F25" s="3"/>
      <x:c r="G25" s="3"/>
      <x:c r="H25" s="3"/>
    </x:row>
    <x:row r="26" ht="15" hidden="0" customHeight="1">
      <x:c r="A26" s="3"/>
      <x:c r="B26" s="3"/>
      <x:c r="C26" s="3"/>
      <x:c r="D26" s="3"/>
      <x:c r="E26" s="3"/>
      <x:c r="F26" s="3"/>
      <x:c r="G26" s="3"/>
      <x:c r="H26" s="3"/>
    </x:row>
    <x:row r="27" ht="15" hidden="0" customHeight="1">
      <x:c r="A27" s="26" t="str">
        <x:v>محرک‌های سناریو</x:v>
      </x:c>
      <x:c r="B27" s="27" t="str">
        <x:v>محرک‌های سناریو</x:v>
      </x:c>
      <x:c r="C27" s="27" t="str">
        <x:v>محرک‌های سناریو</x:v>
      </x:c>
      <x:c r="D27" s="27" t="str">
        <x:v>محرک‌های سناریو</x:v>
      </x:c>
      <x:c r="E27" s="27" t="str">
        <x:v>محرک‌های سناریو</x:v>
      </x:c>
      <x:c r="F27" s="27" t="str">
        <x:v>محرک‌های سناریو</x:v>
      </x:c>
      <x:c r="G27" s="27" t="str">
        <x:v>محرک‌های سناریو</x:v>
      </x:c>
      <x:c r="H27" s="28" t="str">
        <x:v>محرک‌های سناریو</x:v>
      </x:c>
    </x:row>
    <x:row r="28" ht="15" hidden="0" customHeight="1">
      <x:c r="A28" s="41" t="str">
        <x:v>محرک</x:v>
      </x:c>
      <x:c r="B28" s="41" t="str">
        <x:v>واحد</x:v>
      </x:c>
      <x:c r="C28" s="41" t="str">
        <x:v>فعال</x:v>
      </x:c>
      <x:c r="D28" s="41" t="str">
        <x:v>مساعد</x:v>
      </x:c>
      <x:c r="E28" s="41" t="str">
        <x:v>پایه</x:v>
      </x:c>
      <x:c r="F28" s="41" t="str">
        <x:v>نامساعد</x:v>
      </x:c>
      <x:c r="G28" s="3"/>
      <x:c r="H28" s="3"/>
    </x:row>
    <x:row r="29" ht="15" hidden="0" customHeight="1">
      <x:c r="A29" s="16" t="str">
        <x:v>حجم فروش</x:v>
      </x:c>
      <x:c r="B29" s="16" t="str">
        <x:v>ضریب</x:v>
      </x:c>
      <x:c r="C29" s="46" t="n">
        <x:f>CHOOSE($B$5,D29,E29,F29)</x:f>
        <x:v>1</x:v>
      </x:c>
      <x:c r="D29" s="47" t="n">
        <x:v>1.2</x:v>
      </x:c>
      <x:c r="E29" s="47" t="n">
        <x:v>1</x:v>
      </x:c>
      <x:c r="F29" s="47" t="n">
        <x:v>0.75</x:v>
      </x:c>
      <x:c r="G29" s="3"/>
      <x:c r="H29" s="3"/>
    </x:row>
    <x:row r="30" ht="15" hidden="0" customHeight="1">
      <x:c r="A30" s="16" t="str">
        <x:v>قیمت و درآمد خالص</x:v>
      </x:c>
      <x:c r="B30" s="16" t="str">
        <x:v>ضریب</x:v>
      </x:c>
      <x:c r="C30" s="46" t="n">
        <x:f>CHOOSE($B$5,D30,E30,F30)</x:f>
        <x:v>1</x:v>
      </x:c>
      <x:c r="D30" s="47" t="n">
        <x:v>1.05</x:v>
      </x:c>
      <x:c r="E30" s="47" t="n">
        <x:v>1</x:v>
      </x:c>
      <x:c r="F30" s="47" t="n">
        <x:v>0.93</x:v>
      </x:c>
      <x:c r="G30" s="3"/>
      <x:c r="H30" s="3"/>
    </x:row>
    <x:row r="31" ht="15" hidden="0" customHeight="1">
      <x:c r="A31" s="16" t="str">
        <x:v>COGS</x:v>
      </x:c>
      <x:c r="B31" s="16" t="str">
        <x:v>ضریب</x:v>
      </x:c>
      <x:c r="C31" s="46" t="n">
        <x:f>CHOOSE($B$5,D31,E31,F31)</x:f>
        <x:v>1</x:v>
      </x:c>
      <x:c r="D31" s="47" t="n">
        <x:v>0.95</x:v>
      </x:c>
      <x:c r="E31" s="47" t="n">
        <x:v>1</x:v>
      </x:c>
      <x:c r="F31" s="47" t="n">
        <x:v>1.15</x:v>
      </x:c>
      <x:c r="G31" s="3"/>
      <x:c r="H31" s="3"/>
    </x:row>
    <x:row r="32" ht="15" hidden="0" customHeight="1">
      <x:c r="A32" s="16" t="str">
        <x:v>هزینه متغیر کانال و خدمت</x:v>
      </x:c>
      <x:c r="B32" s="16" t="str">
        <x:v>ضریب</x:v>
      </x:c>
      <x:c r="C32" s="46" t="n">
        <x:f>CHOOSE($B$5,D32,E32,F32)</x:f>
        <x:v>1</x:v>
      </x:c>
      <x:c r="D32" s="47" t="n">
        <x:v>0.95</x:v>
      </x:c>
      <x:c r="E32" s="47" t="n">
        <x:v>1</x:v>
      </x:c>
      <x:c r="F32" s="47" t="n">
        <x:v>1.1</x:v>
      </x:c>
      <x:c r="G32" s="3"/>
      <x:c r="H32" s="3"/>
    </x:row>
    <x:row r="33" ht="15" hidden="0" customHeight="1">
      <x:c r="A33" s="16" t="str">
        <x:v>CAC و هزینه جذب</x:v>
      </x:c>
      <x:c r="B33" s="16" t="str">
        <x:v>ضریب</x:v>
      </x:c>
      <x:c r="C33" s="46" t="n">
        <x:f>CHOOSE($B$5,D33,E33,F33)</x:f>
        <x:v>1</x:v>
      </x:c>
      <x:c r="D33" s="47" t="n">
        <x:v>0.85</x:v>
      </x:c>
      <x:c r="E33" s="47" t="n">
        <x:v>1</x:v>
      </x:c>
      <x:c r="F33" s="47" t="n">
        <x:v>1.3</x:v>
      </x:c>
      <x:c r="G33" s="3"/>
      <x:c r="H33" s="3"/>
    </x:row>
    <x:row r="34" ht="15" hidden="0" customHeight="1">
      <x:c r="A34" s="16" t="str">
        <x:v>تغییر نرخ مرجوعی</x:v>
      </x:c>
      <x:c r="B34" s="16" t="str">
        <x:v>واحد درصد</x:v>
      </x:c>
      <x:c r="C34" s="44" t="n">
        <x:f>CHOOSE($B$5,D34,E34,F34)</x:f>
        <x:v>0</x:v>
      </x:c>
      <x:c r="D34" s="45" t="n">
        <x:v>-0.01</x:v>
      </x:c>
      <x:c r="E34" s="45" t="n">
        <x:v>0</x:v>
      </x:c>
      <x:c r="F34" s="45" t="n">
        <x:v>0.03</x:v>
      </x:c>
      <x:c r="G34" s="3"/>
      <x:c r="H34" s="3"/>
    </x:row>
    <x:row r="35" ht="15" hidden="0" customHeight="1">
      <x:c r="A35" s="16" t="str">
        <x:v>هزینه ثابت</x:v>
      </x:c>
      <x:c r="B35" s="16" t="str">
        <x:v>ضریب</x:v>
      </x:c>
      <x:c r="C35" s="48" t="n">
        <x:f>CHOOSE($B$5,D35,E35,F35)</x:f>
        <x:v>1</x:v>
      </x:c>
      <x:c r="D35" s="31" t="n">
        <x:v>1</x:v>
      </x:c>
      <x:c r="E35" s="31" t="n">
        <x:v>1</x:v>
      </x:c>
      <x:c r="F35" s="31" t="n">
        <x:v>1.05</x:v>
      </x:c>
      <x:c r="G35" s="3"/>
      <x:c r="H35" s="3"/>
    </x:row>
    <x:row r="36" ht="15" hidden="0" customHeight="1">
      <x:c r="A36" s="16" t="str">
        <x:v>تغییر روزهای وصول</x:v>
      </x:c>
      <x:c r="B36" s="16" t="str">
        <x:v>روز</x:v>
      </x:c>
      <x:c r="C36" s="49" t="n">
        <x:f>CHOOSE($B$5,D36,E36,F36)</x:f>
        <x:v>0</x:v>
      </x:c>
      <x:c r="D36" s="33" t="n">
        <x:v>-10</x:v>
      </x:c>
      <x:c r="E36" s="33" t="n">
        <x:v>0</x:v>
      </x:c>
      <x:c r="F36" s="33" t="n">
        <x:v>30</x:v>
      </x:c>
      <x:c r="G36" s="3"/>
      <x:c r="H36" s="3"/>
    </x:row>
    <x:row r="37" ht="15" hidden="0" customHeight="1">
      <x:c r="A37" s="3"/>
      <x:c r="B37" s="3"/>
      <x:c r="C37" s="3"/>
      <x:c r="D37" s="3"/>
      <x:c r="E37" s="3"/>
      <x:c r="F37" s="3"/>
      <x:c r="G37" s="3"/>
      <x:c r="H37" s="3"/>
    </x:row>
    <x:row r="38" ht="15" hidden="0" customHeight="1">
      <x:c r="A38" s="3"/>
      <x:c r="B38" s="3"/>
      <x:c r="C38" s="3"/>
      <x:c r="D38" s="3"/>
      <x:c r="E38" s="3"/>
      <x:c r="F38" s="3"/>
      <x:c r="G38" s="3"/>
      <x:c r="H38" s="3"/>
    </x:row>
    <x:row r="39" ht="15" hidden="0" customHeight="1">
      <x:c r="A39" s="26" t="str">
        <x:v>منابع و شواهد</x:v>
      </x:c>
      <x:c r="B39" s="27" t="str">
        <x:v>منابع و شواهد</x:v>
      </x:c>
      <x:c r="C39" s="27" t="str">
        <x:v>منابع و شواهد</x:v>
      </x:c>
      <x:c r="D39" s="27" t="str">
        <x:v>منابع و شواهد</x:v>
      </x:c>
      <x:c r="E39" s="27" t="str">
        <x:v>منابع و شواهد</x:v>
      </x:c>
      <x:c r="F39" s="27" t="str">
        <x:v>منابع و شواهد</x:v>
      </x:c>
      <x:c r="G39" s="27" t="str">
        <x:v>منابع و شواهد</x:v>
      </x:c>
      <x:c r="H39" s="28" t="str">
        <x:v>منابع و شواهد</x:v>
      </x:c>
    </x:row>
    <x:row r="40" ht="15" hidden="0" customHeight="1">
      <x:c r="A40" s="41" t="str">
        <x:v>کد</x:v>
      </x:c>
      <x:c r="B40" s="41" t="str">
        <x:v>حوزه</x:v>
      </x:c>
      <x:c r="C40" s="41" t="str">
        <x:v>تعریف یا فرض</x:v>
      </x:c>
      <x:c r="D40" s="41" t="str">
        <x:v>واحد</x:v>
      </x:c>
      <x:c r="E40" s="41" t="str">
        <x:v>تاریخ</x:v>
      </x:c>
      <x:c r="F40" s="41" t="str">
        <x:v>منبع</x:v>
      </x:c>
      <x:c r="G40" s="41" t="str">
        <x:v>مالک</x:v>
      </x:c>
      <x:c r="H40" s="41" t="str">
        <x:v>وضعیت</x:v>
      </x:c>
    </x:row>
    <x:row r="41" ht="15" hidden="0" customHeight="1">
      <x:c r="A41" s="16" t="str">
        <x:v>SRC-01</x:v>
      </x:c>
      <x:c r="B41" s="16" t="str">
        <x:v>اقتصاد واحد</x:v>
      </x:c>
      <x:c r="C41" s="16" t="str">
        <x:v>تعریف درآمد خالص، COGS، CM1 و CM2</x:v>
      </x:c>
      <x:c r="D41" s="16" t="str">
        <x:v>تعریف</x:v>
      </x:c>
      <x:c r="E41" s="18" t="n">
        <x:v>46280</x:v>
      </x:c>
      <x:c r="F41" s="16" t="str">
        <x:v>کتاب تولید بدون کارخانه، فصل یازدهم</x:v>
      </x:c>
      <x:c r="G41" s="16" t="str">
        <x:v>مالی</x:v>
      </x:c>
      <x:c r="H41" s="16" t="str">
        <x:v>تأیید</x:v>
      </x:c>
    </x:row>
    <x:row r="42" ht="15" hidden="0" customHeight="1">
      <x:c r="A42" s="16" t="str">
        <x:v>SRC-02</x:v>
      </x:c>
      <x:c r="B42" s="16" t="str">
        <x:v>فروش</x:v>
      </x:c>
      <x:c r="C42" s="16" t="str">
        <x:v>قیف، آزمایش، کوهورت و پنجره بلوغ</x:v>
      </x:c>
      <x:c r="D42" s="16" t="str">
        <x:v>تعریف</x:v>
      </x:c>
      <x:c r="E42" s="18" t="n">
        <x:v>46280</x:v>
      </x:c>
      <x:c r="F42" s="16" t="str">
        <x:v>کتاب تولید بدون کارخانه، فصل دوازدهم</x:v>
      </x:c>
      <x:c r="G42" s="16" t="str">
        <x:v>فروش</x:v>
      </x:c>
      <x:c r="H42" s="16" t="str">
        <x:v>تأیید</x:v>
      </x:c>
    </x:row>
    <x:row r="43" ht="15" hidden="0" customHeight="1">
      <x:c r="A43" s="16" t="str">
        <x:v>SRC-03</x:v>
      </x:c>
      <x:c r="B43" s="16" t="str">
        <x:v>داشبورد</x:v>
      </x:c>
      <x:c r="C43" s="16" t="str">
        <x:v>شاخص‌های پیوست و قاعده تصمیم</x:v>
      </x:c>
      <x:c r="D43" s="16" t="str">
        <x:v>تعریف</x:v>
      </x:c>
      <x:c r="E43" s="18" t="n">
        <x:v>46280</x:v>
      </x:c>
      <x:c r="F43" s="16" t="str">
        <x:v>پیوست ۷ کتاب تولید بدون کارخانه</x:v>
      </x:c>
      <x:c r="G43" s="16" t="str">
        <x:v>مالک کسب‌وکار</x:v>
      </x:c>
      <x:c r="H43" s="16" t="str">
        <x:v>تأیید</x:v>
      </x:c>
    </x:row>
    <x:row r="44" ht="15" hidden="0" customHeight="1">
      <x:c r="A44" s="16" t="str">
        <x:v>SRC-DEMO</x:v>
      </x:c>
      <x:c r="B44" s="16" t="str">
        <x:v>نمونه آموزشی</x:v>
      </x:c>
      <x:c r="C44" s="16" t="str">
        <x:v>اعداد برای نمایش منطق فایل‌اند</x:v>
      </x:c>
      <x:c r="D44" s="16" t="str">
        <x:v>نمونه</x:v>
      </x:c>
      <x:c r="E44" s="18" t="n">
        <x:v>46280</x:v>
      </x:c>
      <x:c r="F44" s="16" t="str">
        <x:v>مثال آموزشی فصل یازدهم</x:v>
      </x:c>
      <x:c r="G44" s="16" t="str">
        <x:v>کاربر</x:v>
      </x:c>
      <x:c r="H44" s="16" t="str">
        <x:v>نیازمند جایگزینی</x:v>
      </x:c>
    </x:row>
    <x:row r="45" ht="15" hidden="0" customHeight="1">
      <x:c r="A45" s="22" t="str"/>
      <x:c r="B45" s="22" t="str">
        <x:v>داده پروژه</x:v>
      </x:c>
      <x:c r="C45" s="22" t="str"/>
      <x:c r="D45" s="22" t="str"/>
      <x:c r="E45" s="29"/>
      <x:c r="F45" s="22" t="str"/>
      <x:c r="G45" s="22" t="str"/>
      <x:c r="H45" s="22" t="str">
        <x:v>باز</x:v>
      </x:c>
    </x:row>
    <x:row r="46" ht="15" hidden="0" customHeight="1">
      <x:c r="A46" s="22" t="str"/>
      <x:c r="B46" s="22" t="str">
        <x:v>داده پروژه</x:v>
      </x:c>
      <x:c r="C46" s="22" t="str"/>
      <x:c r="D46" s="22" t="str"/>
      <x:c r="E46" s="29"/>
      <x:c r="F46" s="22" t="str"/>
      <x:c r="G46" s="22" t="str"/>
      <x:c r="H46" s="22" t="str">
        <x:v>باز</x:v>
      </x:c>
    </x:row>
    <x:row r="47" ht="15" hidden="0" customHeight="1">
      <x:c r="A47" s="22" t="str"/>
      <x:c r="B47" s="22" t="str">
        <x:v>داده پروژه</x:v>
      </x:c>
      <x:c r="C47" s="22" t="str"/>
      <x:c r="D47" s="22" t="str"/>
      <x:c r="E47" s="29"/>
      <x:c r="F47" s="22" t="str"/>
      <x:c r="G47" s="22" t="str"/>
      <x:c r="H47" s="22" t="str">
        <x:v>باز</x:v>
      </x:c>
    </x:row>
    <x:row r="48" ht="15" hidden="0" customHeight="1">
      <x:c r="A48" s="22" t="str"/>
      <x:c r="B48" s="22" t="str">
        <x:v>داده پروژه</x:v>
      </x:c>
      <x:c r="C48" s="22" t="str"/>
      <x:c r="D48" s="22" t="str"/>
      <x:c r="E48" s="29"/>
      <x:c r="F48" s="22" t="str"/>
      <x:c r="G48" s="22" t="str"/>
      <x:c r="H48" s="22" t="str">
        <x:v>باز</x:v>
      </x:c>
    </x:row>
    <x:row r="49" ht="15" hidden="0" customHeight="1">
      <x:c r="A49" s="3"/>
      <x:c r="B49" s="3"/>
      <x:c r="C49" s="3"/>
      <x:c r="D49" s="3"/>
      <x:c r="E49" s="3"/>
      <x:c r="F49" s="3"/>
      <x:c r="G49" s="3"/>
      <x:c r="H49" s="3"/>
    </x:row>
    <x:row r="50" ht="15" hidden="0" customHeight="1">
      <x:c r="A50" s="3"/>
      <x:c r="B50" s="3"/>
      <x:c r="C50" s="3"/>
      <x:c r="D50" s="3"/>
      <x:c r="E50" s="3"/>
      <x:c r="F50" s="3"/>
      <x:c r="G50" s="3"/>
      <x:c r="H50" s="3"/>
    </x:row>
    <x:row r="51" ht="15" hidden="0" customHeight="1">
      <x:c r="A51" s="26" t="str">
        <x:v>دفترچه یکتای هزینه‌ها</x:v>
      </x:c>
      <x:c r="B51" s="27" t="str">
        <x:v>دفترچه یکتای هزینه‌ها</x:v>
      </x:c>
      <x:c r="C51" s="27" t="str">
        <x:v>دفترچه یکتای هزینه‌ها</x:v>
      </x:c>
      <x:c r="D51" s="27" t="str">
        <x:v>دفترچه یکتای هزینه‌ها</x:v>
      </x:c>
      <x:c r="E51" s="27" t="str">
        <x:v>دفترچه یکتای هزینه‌ها</x:v>
      </x:c>
      <x:c r="F51" s="27" t="str">
        <x:v>دفترچه یکتای هزینه‌ها</x:v>
      </x:c>
      <x:c r="G51" s="27" t="str">
        <x:v>دفترچه یکتای هزینه‌ها</x:v>
      </x:c>
      <x:c r="H51" s="28" t="str">
        <x:v>دفترچه یکتای هزینه‌ها</x:v>
      </x:c>
    </x:row>
    <x:row r="52" ht="15" hidden="0" customHeight="1">
      <x:c r="A52" s="41" t="str">
        <x:v>کد هزینه</x:v>
      </x:c>
      <x:c r="B52" s="41" t="str">
        <x:v>شرح</x:v>
      </x:c>
      <x:c r="C52" s="41" t="str">
        <x:v>محرک</x:v>
      </x:c>
      <x:c r="D52" s="41" t="str">
        <x:v>لایه</x:v>
      </x:c>
      <x:c r="E52" s="41" t="str">
        <x:v>دوره یا دامنه</x:v>
      </x:c>
      <x:c r="F52" s="41" t="str">
        <x:v>روش تخصیص</x:v>
      </x:c>
      <x:c r="G52" s="41" t="str">
        <x:v>منبع</x:v>
      </x:c>
      <x:c r="H52" s="41" t="str">
        <x:v>وضعیت</x:v>
      </x:c>
    </x:row>
    <x:row r="53" ht="15" hidden="0" customHeight="1">
      <x:c r="A53" s="16" t="str">
        <x:v>C01</x:v>
      </x:c>
      <x:c r="B53" s="16" t="str">
        <x:v>تولید یا خرید محصول سالم</x:v>
      </x:c>
      <x:c r="C53" s="16" t="str">
        <x:v>واحد سالم</x:v>
      </x:c>
      <x:c r="D53" s="16" t="str">
        <x:v>COGS</x:v>
      </x:c>
      <x:c r="E53" s="16" t="str">
        <x:v>هر بچ</x:v>
      </x:c>
      <x:c r="F53" s="16" t="str">
        <x:v>بر واحد سالم آزادشده</x:v>
      </x:c>
      <x:c r="G53" s="16" t="str">
        <x:v>فاکتور / T06</x:v>
      </x:c>
      <x:c r="H53" s="16" t="str">
        <x:v>تعریف‌شده</x:v>
      </x:c>
    </x:row>
    <x:row r="54" ht="15" hidden="0" customHeight="1">
      <x:c r="A54" s="16" t="str">
        <x:v>C02</x:v>
      </x:c>
      <x:c r="B54" s="16" t="str">
        <x:v>بسته‌بندی جزء کالای قابل فروش</x:v>
      </x:c>
      <x:c r="C54" s="16" t="str">
        <x:v>واحد سالم</x:v>
      </x:c>
      <x:c r="D54" s="16" t="str">
        <x:v>COGS</x:v>
      </x:c>
      <x:c r="E54" s="16" t="str">
        <x:v>هر بچ</x:v>
      </x:c>
      <x:c r="F54" s="16" t="str">
        <x:v>بر واحد سالم آزادشده</x:v>
      </x:c>
      <x:c r="G54" s="16" t="str">
        <x:v>فاکتور / BOM</x:v>
      </x:c>
      <x:c r="H54" s="16" t="str">
        <x:v>تعریف‌شده</x:v>
      </x:c>
    </x:row>
    <x:row r="55" ht="15" hidden="0" customHeight="1">
      <x:c r="A55" s="16" t="str">
        <x:v>C03</x:v>
      </x:c>
      <x:c r="B55" s="16" t="str">
        <x:v>کارمزد کانال یا مارکت‌پلیس</x:v>
      </x:c>
      <x:c r="C55" s="16" t="str">
        <x:v>فروش خالص</x:v>
      </x:c>
      <x:c r="D55" s="16" t="str">
        <x:v>CM1</x:v>
      </x:c>
      <x:c r="E55" s="16" t="str">
        <x:v>هر سفارش</x:v>
      </x:c>
      <x:c r="F55" s="16" t="str">
        <x:v>درصد فروش خالص</x:v>
      </x:c>
      <x:c r="G55" s="16" t="str">
        <x:v>قرارداد کانال</x:v>
      </x:c>
      <x:c r="H55" s="16" t="str">
        <x:v>تعریف‌شده</x:v>
      </x:c>
    </x:row>
    <x:row r="56" ht="15" hidden="0" customHeight="1">
      <x:c r="A56" s="16" t="str">
        <x:v>C04</x:v>
      </x:c>
      <x:c r="B56" s="16" t="str">
        <x:v>انجام سفارش و حمل متغیر</x:v>
      </x:c>
      <x:c r="C56" s="16" t="str">
        <x:v>سفارش</x:v>
      </x:c>
      <x:c r="D56" s="16" t="str">
        <x:v>CM1</x:v>
      </x:c>
      <x:c r="E56" s="16" t="str">
        <x:v>هر سفارش</x:v>
      </x:c>
      <x:c r="F56" s="16" t="str">
        <x:v>مبلغ واقعی سفارش</x:v>
      </x:c>
      <x:c r="G56" s="16" t="str">
        <x:v>فاکتور لجستیک</x:v>
      </x:c>
      <x:c r="H56" s="16" t="str">
        <x:v>تعریف‌شده</x:v>
      </x:c>
    </x:row>
    <x:row r="57" ht="15" hidden="0" customHeight="1">
      <x:c r="A57" s="16" t="str">
        <x:v>C05</x:v>
      </x:c>
      <x:c r="B57" s="16" t="str">
        <x:v>کارمزد پرداخت</x:v>
      </x:c>
      <x:c r="C57" s="16" t="str">
        <x:v>تراکنش</x:v>
      </x:c>
      <x:c r="D57" s="16" t="str">
        <x:v>CM1</x:v>
      </x:c>
      <x:c r="E57" s="16" t="str">
        <x:v>هر سفارش</x:v>
      </x:c>
      <x:c r="F57" s="16" t="str">
        <x:v>مبلغ واقعی تراکنش</x:v>
      </x:c>
      <x:c r="G57" s="16" t="str">
        <x:v>گزارش درگاه</x:v>
      </x:c>
      <x:c r="H57" s="16" t="str">
        <x:v>تعریف‌شده</x:v>
      </x:c>
    </x:row>
    <x:row r="58" ht="15" hidden="0" customHeight="1">
      <x:c r="A58" s="16" t="str">
        <x:v>C06</x:v>
      </x:c>
      <x:c r="B58" s="16" t="str">
        <x:v>گارانتی، خدمت و پردازش مرجوعی</x:v>
      </x:c>
      <x:c r="C58" s="16" t="str">
        <x:v>رخداد</x:v>
      </x:c>
      <x:c r="D58" s="16" t="str">
        <x:v>CM1</x:v>
      </x:c>
      <x:c r="E58" s="16" t="str">
        <x:v>پنجره کامل</x:v>
      </x:c>
      <x:c r="F58" s="16" t="str">
        <x:v>هزینه رخداد</x:v>
      </x:c>
      <x:c r="G58" s="16" t="str">
        <x:v>خدمات / مرجوعی</x:v>
      </x:c>
      <x:c r="H58" s="16" t="str">
        <x:v>تعریف‌شده</x:v>
      </x:c>
    </x:row>
    <x:row r="59" ht="15" hidden="0" customHeight="1">
      <x:c r="A59" s="16" t="str">
        <x:v>C07</x:v>
      </x:c>
      <x:c r="B59" s="16" t="str">
        <x:v>جذب مشتری قابل انتساب</x:v>
      </x:c>
      <x:c r="C59" s="16" t="str">
        <x:v>مشتری جدید</x:v>
      </x:c>
      <x:c r="D59" s="16" t="str">
        <x:v>CM2</x:v>
      </x:c>
      <x:c r="E59" s="16" t="str">
        <x:v>دوره / کمپین</x:v>
      </x:c>
      <x:c r="F59" s="16" t="str">
        <x:v>بر مشتری جدید معتبر</x:v>
      </x:c>
      <x:c r="G59" s="16" t="str">
        <x:v>رسانه / کمپین</x:v>
      </x:c>
      <x:c r="H59" s="16" t="str">
        <x:v>تعریف‌شده</x:v>
      </x:c>
    </x:row>
    <x:row r="60" ht="15" hidden="0" customHeight="1">
      <x:c r="A60" s="16" t="str">
        <x:v>C08</x:v>
      </x:c>
      <x:c r="B60" s="16" t="str">
        <x:v>حقوق، اجاره، نرم‌افزار و اداره</x:v>
      </x:c>
      <x:c r="C60" s="16" t="str">
        <x:v>دوره</x:v>
      </x:c>
      <x:c r="D60" s="16" t="str">
        <x:v>هزینه ثابت</x:v>
      </x:c>
      <x:c r="E60" s="16" t="str">
        <x:v>ماه</x:v>
      </x:c>
      <x:c r="F60" s="16" t="str">
        <x:v>کل دوره</x:v>
      </x:c>
      <x:c r="G60" s="16" t="str">
        <x:v>دفتر کل</x:v>
      </x:c>
      <x:c r="H60" s="16" t="str">
        <x:v>تعریف‌شده</x:v>
      </x:c>
    </x:row>
    <x:row r="61" ht="15" hidden="0" customHeight="1">
      <x:c r="A61" s="16" t="str">
        <x:v>C09</x:v>
      </x:c>
      <x:c r="B61" s="16" t="str">
        <x:v>سرمایه‌گذاری و پرداخت غیرعملیاتی</x:v>
      </x:c>
      <x:c r="C61" s="16" t="str">
        <x:v>رویداد نقد</x:v>
      </x:c>
      <x:c r="D61" s="16" t="str">
        <x:v>فقط نقد</x:v>
      </x:c>
      <x:c r="E61" s="16" t="str">
        <x:v>تاریخ پرداخت</x:v>
      </x:c>
      <x:c r="F61" s="16" t="str">
        <x:v>رویداد واقعی</x:v>
      </x:c>
      <x:c r="G61" s="16" t="str">
        <x:v>تقویم نقد</x:v>
      </x:c>
      <x:c r="H61" s="16" t="str">
        <x:v>تعریف‌شده</x:v>
      </x:c>
    </x:row>
    <x:row r="62" ht="15" hidden="0" customHeight="1">
      <x:c r="A62" s="3"/>
      <x:c r="B62" s="3"/>
      <x:c r="C62" s="3"/>
      <x:c r="D62" s="3"/>
      <x:c r="E62" s="3"/>
      <x:c r="F62" s="3"/>
      <x:c r="G62" s="3"/>
      <x:c r="H62" s="3"/>
    </x:row>
    <x:row r="63">
      <x:c r="A63" s="60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B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C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D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E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F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G63" s="61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H63" s="62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</x:row>
    <x:row r="64">
      <x:c r="A64" s="63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B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C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D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E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F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G64" s="64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H64" s="65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</x:row>
    <x:row r="65">
      <x:c r="A65" s="66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B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C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D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E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F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G65" s="67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  <x:c r="H65" s="68" t="str">
        <x:v>اگر یک فاکتور چند ماهیت دارد، آن را به چند سطر با کدهای روشن بشکنید. هزینه ثبت‌شده در مرجوعی یا تقویم نقد نباید دوباره در CM1 یا CM2 اضافه شود.</x:v>
      </x:c>
    </x:row>
    <x:row r="66" ht="15" hidden="0" customHeight="1">
      <x:c r="A66" s="3"/>
      <x:c r="B66" s="3"/>
      <x:c r="C66" s="3"/>
      <x:c r="D66" s="3"/>
      <x:c r="E66" s="3"/>
      <x:c r="F66" s="3"/>
      <x:c r="G66" s="3"/>
      <x:c r="H66" s="3"/>
    </x:row>
    <x:row r="67" ht="15" hidden="0" customHeight="1">
      <x:c r="A67" s="3"/>
      <x:c r="B67" s="3"/>
      <x:c r="C67" s="3"/>
      <x:c r="D67" s="3"/>
      <x:c r="E67" s="3"/>
      <x:c r="F67" s="3"/>
      <x:c r="G67" s="3"/>
      <x:c r="H67" s="3"/>
    </x:row>
    <x:row r="68" ht="15" hidden="0" customHeight="1">
      <x:c r="A68" s="3"/>
      <x:c r="B68" s="3"/>
      <x:c r="C68" s="3"/>
      <x:c r="D68" s="3"/>
      <x:c r="E68" s="3"/>
      <x:c r="F68" s="3"/>
      <x:c r="G68" s="3"/>
      <x:c r="H68" s="3"/>
    </x:row>
    <x:row r="69" ht="15" hidden="0" customHeight="1">
      <x:c r="A69" s="3"/>
      <x:c r="B69" s="3"/>
      <x:c r="C69" s="3"/>
      <x:c r="D69" s="3"/>
      <x:c r="E69" s="3"/>
      <x:c r="F69" s="3"/>
      <x:c r="G69" s="3"/>
      <x:c r="H69" s="3"/>
    </x:row>
    <x:row r="70" ht="15" hidden="0" customHeight="1">
      <x:c r="A70" s="3"/>
      <x:c r="B70" s="3"/>
      <x:c r="C70" s="3"/>
      <x:c r="D70" s="3"/>
      <x:c r="E70" s="3"/>
      <x:c r="F70" s="3"/>
      <x:c r="G70" s="3"/>
      <x:c r="H70" s="3"/>
    </x:row>
    <x:row r="71" ht="15" hidden="0" customHeight="1">
      <x:c r="A71" s="3"/>
      <x:c r="B71" s="3"/>
      <x:c r="C71" s="3"/>
      <x:c r="D71" s="3"/>
      <x:c r="E71" s="3"/>
      <x:c r="F71" s="3"/>
      <x:c r="G71" s="3"/>
      <x:c r="H71" s="3"/>
    </x:row>
    <x:row r="72" ht="15" hidden="0" customHeight="1">
      <x:c r="A72" s="3"/>
      <x:c r="B72" s="3"/>
      <x:c r="C72" s="3"/>
      <x:c r="D72" s="3"/>
      <x:c r="E72" s="3"/>
      <x:c r="F72" s="3"/>
      <x:c r="G72" s="3"/>
      <x:c r="H72" s="3"/>
    </x:row>
    <x:row r="73" ht="15" hidden="0" customHeight="1">
      <x:c r="A73" s="3"/>
      <x:c r="B73" s="3"/>
      <x:c r="C73" s="3"/>
      <x:c r="D73" s="3"/>
      <x:c r="E73" s="3"/>
      <x:c r="F73" s="3"/>
      <x:c r="G73" s="3"/>
      <x:c r="H73" s="3"/>
    </x:row>
    <x:row r="74" ht="15" hidden="0" customHeight="1">
      <x:c r="A74" s="3"/>
      <x:c r="B74" s="3"/>
      <x:c r="C74" s="3"/>
      <x:c r="D74" s="3"/>
      <x:c r="E74" s="3"/>
      <x:c r="F74" s="3"/>
      <x:c r="G74" s="3"/>
      <x:c r="H74" s="3"/>
    </x:row>
    <x:row r="75" ht="15" hidden="0" customHeight="1">
      <x:c r="A75" s="3"/>
      <x:c r="B75" s="3"/>
      <x:c r="C75" s="3"/>
      <x:c r="D75" s="3"/>
      <x:c r="E75" s="3"/>
      <x:c r="F75" s="3"/>
      <x:c r="G75" s="3"/>
      <x:c r="H75" s="3"/>
    </x:row>
    <x:row r="76" ht="15" hidden="0" customHeight="1">
      <x:c r="A76" s="3"/>
      <x:c r="B76" s="3"/>
      <x:c r="C76" s="3"/>
      <x:c r="D76" s="3"/>
      <x:c r="E76" s="3"/>
      <x:c r="F76" s="3"/>
      <x:c r="G76" s="3"/>
      <x:c r="H76" s="3"/>
    </x:row>
  </x:sheetData>
  <x:mergeCells>
    <x:mergeCell ref="A1:H2"/>
    <x:mergeCell ref="A3:H3"/>
    <x:mergeCell ref="C5:D5"/>
    <x:mergeCell ref="F5:H5"/>
    <x:mergeCell ref="B6:D6"/>
    <x:mergeCell ref="F6:H6"/>
    <x:mergeCell ref="A8:H8"/>
    <x:mergeCell ref="F9:H9"/>
    <x:mergeCell ref="G10:H10"/>
    <x:mergeCell ref="G11:H11"/>
    <x:mergeCell ref="G12:H12"/>
    <x:mergeCell ref="G13:H13"/>
    <x:mergeCell ref="G14:H14"/>
    <x:mergeCell ref="G15:H15"/>
    <x:mergeCell ref="A27:H27"/>
    <x:mergeCell ref="A39:H39"/>
    <x:mergeCell ref="A51:H51"/>
    <x:mergeCell ref="A63:H65"/>
  </x:mergeCells>
  <x:conditionalFormatting sqref="A5:H6">
    <x:cfRule type="containsText" dxfId="0" priority="1" operator="containsText" text="قرمز"/>
    <x:cfRule type="containsText" dxfId="1" priority="2" operator="containsText" text="بحرانی"/>
    <x:cfRule type="containsText" dxfId="2" priority="3" operator="containsText" text="رد"/>
    <x:cfRule type="containsText" dxfId="3" priority="4" operator="containsText" text="متوقف"/>
    <x:cfRule type="containsText" dxfId="4" priority="5" operator="containsText" text="عقب‌افتاده"/>
    <x:cfRule type="containsText" dxfId="5" priority="6" operator="containsText" text="نامعتبر"/>
    <x:cfRule type="containsText" dxfId="6" priority="7" operator="containsText" text="زرد"/>
    <x:cfRule type="containsText" dxfId="7" priority="8" operator="containsText" text="باز"/>
    <x:cfRule type="containsText" dxfId="8" priority="9" operator="containsText" text="نیازمند اصلاح"/>
    <x:cfRule type="containsText" dxfId="9" priority="10" operator="containsText" text="در انتظار"/>
    <x:cfRule type="containsText" dxfId="10" priority="11" operator="containsText" text="نمونه آموزشی"/>
    <x:cfRule type="containsText" dxfId="11" priority="12" operator="containsText" text="سبز"/>
    <x:cfRule type="containsText" dxfId="12" priority="13" operator="containsText" text="بسته"/>
    <x:cfRule type="containsText" dxfId="13" priority="14" operator="containsText" text="تأیید"/>
    <x:cfRule type="containsText" dxfId="14" priority="15" operator="containsText" text="آزادشده"/>
    <x:cfRule type="containsText" dxfId="15" priority="16" operator="containsText" text="انجام‌شده"/>
    <x:cfRule type="containsText" dxfId="16" priority="17" operator="containsText" text="خاکستری"/>
    <x:cfRule type="containsText" dxfId="17" priority="18" operator="containsText" text="نابالغ"/>
    <x:cfRule type="containsText" dxfId="18" priority="19" operator="containsText" text="پنجره کامل نشده"/>
    <x:cfRule type="containsText" dxfId="19" priority="20" operator="containsText" text="n.a."/>
  </x:conditionalFormatting>
  <x:conditionalFormatting sqref="F10:F13">
    <x:cfRule type="containsText" dxfId="20" priority="21" operator="containsText" text="قرمز"/>
    <x:cfRule type="containsText" dxfId="21" priority="22" operator="containsText" text="بحرانی"/>
    <x:cfRule type="containsText" dxfId="22" priority="23" operator="containsText" text="رد"/>
    <x:cfRule type="containsText" dxfId="23" priority="24" operator="containsText" text="متوقف"/>
    <x:cfRule type="containsText" dxfId="24" priority="25" operator="containsText" text="عقب‌افتاده"/>
    <x:cfRule type="containsText" dxfId="25" priority="26" operator="containsText" text="نامعتبر"/>
    <x:cfRule type="containsText" dxfId="26" priority="27" operator="containsText" text="زرد"/>
    <x:cfRule type="containsText" dxfId="27" priority="28" operator="containsText" text="باز"/>
    <x:cfRule type="containsText" dxfId="28" priority="29" operator="containsText" text="نیازمند اصلاح"/>
    <x:cfRule type="containsText" dxfId="29" priority="30" operator="containsText" text="در انتظار"/>
    <x:cfRule type="containsText" dxfId="30" priority="31" operator="containsText" text="نمونه آموزشی"/>
    <x:cfRule type="containsText" dxfId="31" priority="32" operator="containsText" text="سبز"/>
    <x:cfRule type="containsText" dxfId="32" priority="33" operator="containsText" text="بسته"/>
    <x:cfRule type="containsText" dxfId="33" priority="34" operator="containsText" text="تأیید"/>
    <x:cfRule type="containsText" dxfId="34" priority="35" operator="containsText" text="آزادشده"/>
    <x:cfRule type="containsText" dxfId="35" priority="36" operator="containsText" text="انجام‌شده"/>
    <x:cfRule type="containsText" dxfId="36" priority="37" operator="containsText" text="خاکستری"/>
    <x:cfRule type="containsText" dxfId="37" priority="38" operator="containsText" text="نابالغ"/>
    <x:cfRule type="containsText" dxfId="38" priority="39" operator="containsText" text="پنجره کامل نشده"/>
    <x:cfRule type="containsText" dxfId="39" priority="40" operator="containsText" text="n.a."/>
  </x:conditionalFormatting>
  <x:conditionalFormatting sqref="H41:H48">
    <x:cfRule type="containsText" dxfId="40" priority="41" operator="containsText" text="قرمز"/>
    <x:cfRule type="containsText" dxfId="41" priority="42" operator="containsText" text="بحرانی"/>
    <x:cfRule type="containsText" dxfId="42" priority="43" operator="containsText" text="رد"/>
    <x:cfRule type="containsText" dxfId="43" priority="44" operator="containsText" text="متوقف"/>
    <x:cfRule type="containsText" dxfId="44" priority="45" operator="containsText" text="عقب‌افتاده"/>
    <x:cfRule type="containsText" dxfId="45" priority="46" operator="containsText" text="نامعتبر"/>
    <x:cfRule type="containsText" dxfId="46" priority="47" operator="containsText" text="زرد"/>
    <x:cfRule type="containsText" dxfId="47" priority="48" operator="containsText" text="باز"/>
    <x:cfRule type="containsText" dxfId="48" priority="49" operator="containsText" text="نیازمند اصلاح"/>
    <x:cfRule type="containsText" dxfId="49" priority="50" operator="containsText" text="در انتظار"/>
    <x:cfRule type="containsText" dxfId="50" priority="51" operator="containsText" text="نمونه آموزشی"/>
    <x:cfRule type="containsText" dxfId="51" priority="52" operator="containsText" text="سبز"/>
    <x:cfRule type="containsText" dxfId="52" priority="53" operator="containsText" text="بسته"/>
    <x:cfRule type="containsText" dxfId="53" priority="54" operator="containsText" text="تأیید"/>
    <x:cfRule type="containsText" dxfId="54" priority="55" operator="containsText" text="آزادشده"/>
    <x:cfRule type="containsText" dxfId="55" priority="56" operator="containsText" text="انجام‌شده"/>
    <x:cfRule type="containsText" dxfId="56" priority="57" operator="containsText" text="خاکستری"/>
    <x:cfRule type="containsText" dxfId="57" priority="58" operator="containsText" text="نابالغ"/>
    <x:cfRule type="containsText" dxfId="58" priority="59" operator="containsText" text="پنجره کامل نشده"/>
    <x:cfRule type="containsText" dxfId="59" priority="60" operator="containsText" text="n.a."/>
  </x:conditionalFormatting>
  <x:dataValidations count="2">
    <x:dataValidation type="whole" operator="between" sqref="B5">
      <x:formula1>1</x:formula1>
      <x:formula2>3</x:formula2>
    </x:dataValidation>
    <x:dataValidation type="list" sqref="H41:H48">
      <x:formula1>"تأیید,نیازمند جایگزینی,باز,رد"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6" ySplit="8" topLeftCell="G9" activePane="bottomRight" state="frozen"/>
    </x:sheetView>
  </x:sheetViews>
  <x:sheetFormatPr defaultRowHeight="15"/>
  <x:cols>
    <x:col min="1" max="1" width="13" hidden="0" customWidth="1"/>
    <x:col min="2" max="2" width="12" hidden="0" customWidth="1"/>
    <x:col min="3" max="3" width="18" hidden="0" customWidth="1"/>
    <x:col min="4" max="4" width="28" hidden="0" customWidth="1"/>
    <x:col min="5" max="5" width="19" hidden="0" customWidth="1"/>
    <x:col min="6" max="6" width="22" hidden="0" customWidth="1"/>
    <x:col min="7" max="7" width="16" hidden="0" customWidth="1"/>
    <x:col min="8" max="8" width="18" hidden="0" customWidth="1"/>
    <x:col min="9" max="9" width="16" hidden="0" customWidth="1"/>
    <x:col min="10" max="10" width="15" hidden="0" customWidth="1"/>
    <x:col min="11" max="11" width="18" hidden="0" customWidth="1"/>
    <x:col min="12" max="12" width="15" hidden="0" customWidth="1"/>
    <x:col min="13" max="13" width="17" hidden="0" customWidth="1"/>
    <x:col min="14" max="14" width="17" hidden="0" customWidth="1"/>
    <x:col min="15" max="15" width="19" hidden="0" customWidth="1"/>
    <x:col min="16" max="16" width="17" hidden="0" customWidth="1"/>
    <x:col min="17" max="17" width="17" hidden="0" customWidth="1"/>
    <x:col min="18" max="18" width="15" hidden="0" customWidth="1"/>
    <x:col min="19" max="19" width="17" hidden="0" customWidth="1"/>
    <x:col min="20" max="20" width="15" hidden="0" customWidth="1"/>
    <x:col min="21" max="21" width="17" hidden="0" customWidth="1"/>
    <x:col min="22" max="22" width="19" hidden="0" customWidth="1"/>
    <x:col min="23" max="23" width="17" hidden="0" customWidth="1"/>
    <x:col min="24" max="24" width="17" hidden="0" customWidth="1"/>
    <x:col min="25" max="25" width="17" hidden="0" customWidth="1"/>
    <x:col min="26" max="26" width="16" hidden="0" customWidth="1"/>
    <x:col min="27" max="27" width="15" hidden="0" customWidth="1"/>
    <x:col min="28" max="28" width="15" hidden="0" customWidth="1"/>
    <x:col min="29" max="29" width="13" hidden="0" customWidth="1"/>
    <x:col min="30" max="30" width="15" hidden="0" customWidth="1"/>
    <x:col min="31" max="31" width="15" hidden="0" customWidth="1"/>
    <x:col min="32" max="32" width="14" hidden="0" customWidth="1"/>
    <x:col min="33" max="33" width="15" hidden="0" customWidth="1"/>
    <x:col min="34" max="34" width="15" hidden="0" customWidth="1"/>
    <x:col min="35" max="35" width="15" hidden="0" customWidth="1"/>
    <x:col min="36" max="36" width="18" hidden="0" customWidth="1"/>
    <x:col min="37" max="37" width="17" hidden="0" customWidth="1"/>
    <x:col min="38" max="38" width="19" hidden="0" customWidth="1"/>
    <x:col min="39" max="39" width="22" hidden="0" customWidth="1"/>
    <x:col min="40" max="40" width="18" hidden="0" customWidth="1"/>
    <x:col min="41" max="41" width="23" hidden="0" customWidth="1"/>
    <x:col min="42" max="42" width="28" hidden="0" customWidth="1"/>
  </x:cols>
  <x:sheetData>
    <x:row r="1" ht="34" customHeight="1">
      <x:c r="A1" s="7" t="str">
        <x:v>T07 | اقتصاد محصول و کانال</x:v>
      </x:c>
      <x:c r="B1" s="7" t="str">
        <x:v>T07 | اقتصاد محصول و کانال</x:v>
      </x:c>
      <x:c r="C1" s="7" t="str">
        <x:v>T07 | اقتصاد محصول و کانال</x:v>
      </x:c>
      <x:c r="D1" s="7" t="str">
        <x:v>T07 | اقتصاد محصول و کانال</x:v>
      </x:c>
      <x:c r="E1" s="7" t="str">
        <x:v>T07 | اقتصاد محصول و کانال</x:v>
      </x:c>
      <x:c r="F1" s="7" t="str">
        <x:v>T07 | اقتصاد محصول و کانال</x:v>
      </x:c>
      <x:c r="G1" s="7" t="str">
        <x:v>T07 | اقتصاد محصول و کانال</x:v>
      </x:c>
      <x:c r="H1" s="7" t="str">
        <x:v>T07 | اقتصاد محصول و کانال</x:v>
      </x:c>
      <x:c r="I1" s="7" t="str">
        <x:v>T07 | اقتصاد محصول و کانال</x:v>
      </x:c>
      <x:c r="J1" s="7" t="str">
        <x:v>T07 | اقتصاد محصول و کانال</x:v>
      </x:c>
      <x:c r="K1" s="7" t="str">
        <x:v>T07 | اقتصاد محصول و کانال</x:v>
      </x:c>
      <x:c r="L1" s="7" t="str">
        <x:v>T07 | اقتصاد محصول و کانال</x:v>
      </x:c>
      <x:c r="M1" s="7" t="str">
        <x:v>T07 | اقتصاد محصول و کانال</x:v>
      </x:c>
      <x:c r="N1" s="7" t="str">
        <x:v>T07 | اقتصاد محصول و کانال</x:v>
      </x:c>
      <x:c r="O1" s="7" t="str">
        <x:v>T07 | اقتصاد محصول و کانال</x:v>
      </x:c>
      <x:c r="P1" s="7" t="str">
        <x:v>T07 | اقتصاد محصول و کانال</x:v>
      </x:c>
      <x:c r="Q1" s="7" t="str">
        <x:v>T07 | اقتصاد محصول و کانال</x:v>
      </x:c>
      <x:c r="R1" s="7" t="str">
        <x:v>T07 | اقتصاد محصول و کانال</x:v>
      </x:c>
      <x:c r="S1" s="7" t="str">
        <x:v>T07 | اقتصاد محصول و کانال</x:v>
      </x:c>
      <x:c r="T1" s="7" t="str">
        <x:v>T07 | اقتصاد محصول و کانال</x:v>
      </x:c>
      <x:c r="U1" s="7" t="str">
        <x:v>T07 | اقتصاد محصول و کانال</x:v>
      </x:c>
      <x:c r="V1" s="7" t="str">
        <x:v>T07 | اقتصاد محصول و کانال</x:v>
      </x:c>
      <x:c r="W1" s="7" t="str">
        <x:v>T07 | اقتصاد محصول و کانال</x:v>
      </x:c>
      <x:c r="X1" s="7" t="str">
        <x:v>T07 | اقتصاد محصول و کانال</x:v>
      </x:c>
      <x:c r="Y1" s="7" t="str">
        <x:v>T07 | اقتصاد محصول و کانال</x:v>
      </x:c>
      <x:c r="Z1" s="7" t="str">
        <x:v>T07 | اقتصاد محصول و کانال</x:v>
      </x:c>
      <x:c r="AA1" s="7" t="str">
        <x:v>T07 | اقتصاد محصول و کانال</x:v>
      </x:c>
      <x:c r="AB1" s="7" t="str">
        <x:v>T07 | اقتصاد محصول و کانال</x:v>
      </x:c>
      <x:c r="AC1" s="7" t="str">
        <x:v>T07 | اقتصاد محصول و کانال</x:v>
      </x:c>
      <x:c r="AD1" s="7" t="str">
        <x:v>T07 | اقتصاد محصول و کانال</x:v>
      </x:c>
      <x:c r="AE1" s="7" t="str">
        <x:v>T07 | اقتصاد محصول و کانال</x:v>
      </x:c>
      <x:c r="AF1" s="7" t="str">
        <x:v>T07 | اقتصاد محصول و کانال</x:v>
      </x:c>
      <x:c r="AG1" s="7" t="str">
        <x:v>T07 | اقتصاد محصول و کانال</x:v>
      </x:c>
      <x:c r="AH1" s="7" t="str">
        <x:v>T07 | اقتصاد محصول و کانال</x:v>
      </x:c>
      <x:c r="AI1" s="7" t="str">
        <x:v>T07 | اقتصاد محصول و کانال</x:v>
      </x:c>
      <x:c r="AJ1" s="7" t="str">
        <x:v>T07 | اقتصاد محصول و کانال</x:v>
      </x:c>
      <x:c r="AK1" s="7" t="str">
        <x:v>T07 | اقتصاد محصول و کانال</x:v>
      </x:c>
      <x:c r="AL1" s="7" t="str">
        <x:v>T07 | اقتصاد محصول و کانال</x:v>
      </x:c>
      <x:c r="AM1" s="7" t="str">
        <x:v>T07 | اقتصاد محصول و کانال</x:v>
      </x:c>
      <x:c r="AN1" s="7" t="str">
        <x:v>T07 | اقتصاد محصول و کانال</x:v>
      </x:c>
      <x:c r="AO1" s="7" t="str">
        <x:v>T07 | اقتصاد محصول و کانال</x:v>
      </x:c>
      <x:c r="AP1" s="7" t="str">
        <x:v>T07 | اقتصاد محصول و کانال</x:v>
      </x:c>
    </x:row>
    <x:row r="2" ht="34" customHeight="1">
      <x:c r="A2" s="7" t="str">
        <x:v>T07 | اقتصاد محصول و کانال</x:v>
      </x:c>
      <x:c r="B2" s="7" t="str">
        <x:v>T07 | اقتصاد محصول و کانال</x:v>
      </x:c>
      <x:c r="C2" s="7" t="str">
        <x:v>T07 | اقتصاد محصول و کانال</x:v>
      </x:c>
      <x:c r="D2" s="7" t="str">
        <x:v>T07 | اقتصاد محصول و کانال</x:v>
      </x:c>
      <x:c r="E2" s="7" t="str">
        <x:v>T07 | اقتصاد محصول و کانال</x:v>
      </x:c>
      <x:c r="F2" s="7" t="str">
        <x:v>T07 | اقتصاد محصول و کانال</x:v>
      </x:c>
      <x:c r="G2" s="7" t="str">
        <x:v>T07 | اقتصاد محصول و کانال</x:v>
      </x:c>
      <x:c r="H2" s="7" t="str">
        <x:v>T07 | اقتصاد محصول و کانال</x:v>
      </x:c>
      <x:c r="I2" s="7" t="str">
        <x:v>T07 | اقتصاد محصول و کانال</x:v>
      </x:c>
      <x:c r="J2" s="7" t="str">
        <x:v>T07 | اقتصاد محصول و کانال</x:v>
      </x:c>
      <x:c r="K2" s="7" t="str">
        <x:v>T07 | اقتصاد محصول و کانال</x:v>
      </x:c>
      <x:c r="L2" s="7" t="str">
        <x:v>T07 | اقتصاد محصول و کانال</x:v>
      </x:c>
      <x:c r="M2" s="7" t="str">
        <x:v>T07 | اقتصاد محصول و کانال</x:v>
      </x:c>
      <x:c r="N2" s="7" t="str">
        <x:v>T07 | اقتصاد محصول و کانال</x:v>
      </x:c>
      <x:c r="O2" s="7" t="str">
        <x:v>T07 | اقتصاد محصول و کانال</x:v>
      </x:c>
      <x:c r="P2" s="7" t="str">
        <x:v>T07 | اقتصاد محصول و کانال</x:v>
      </x:c>
      <x:c r="Q2" s="7" t="str">
        <x:v>T07 | اقتصاد محصول و کانال</x:v>
      </x:c>
      <x:c r="R2" s="7" t="str">
        <x:v>T07 | اقتصاد محصول و کانال</x:v>
      </x:c>
      <x:c r="S2" s="7" t="str">
        <x:v>T07 | اقتصاد محصول و کانال</x:v>
      </x:c>
      <x:c r="T2" s="7" t="str">
        <x:v>T07 | اقتصاد محصول و کانال</x:v>
      </x:c>
      <x:c r="U2" s="7" t="str">
        <x:v>T07 | اقتصاد محصول و کانال</x:v>
      </x:c>
      <x:c r="V2" s="7" t="str">
        <x:v>T07 | اقتصاد محصول و کانال</x:v>
      </x:c>
      <x:c r="W2" s="7" t="str">
        <x:v>T07 | اقتصاد محصول و کانال</x:v>
      </x:c>
      <x:c r="X2" s="7" t="str">
        <x:v>T07 | اقتصاد محصول و کانال</x:v>
      </x:c>
      <x:c r="Y2" s="7" t="str">
        <x:v>T07 | اقتصاد محصول و کانال</x:v>
      </x:c>
      <x:c r="Z2" s="7" t="str">
        <x:v>T07 | اقتصاد محصول و کانال</x:v>
      </x:c>
      <x:c r="AA2" s="7" t="str">
        <x:v>T07 | اقتصاد محصول و کانال</x:v>
      </x:c>
      <x:c r="AB2" s="7" t="str">
        <x:v>T07 | اقتصاد محصول و کانال</x:v>
      </x:c>
      <x:c r="AC2" s="7" t="str">
        <x:v>T07 | اقتصاد محصول و کانال</x:v>
      </x:c>
      <x:c r="AD2" s="7" t="str">
        <x:v>T07 | اقتصاد محصول و کانال</x:v>
      </x:c>
      <x:c r="AE2" s="7" t="str">
        <x:v>T07 | اقتصاد محصول و کانال</x:v>
      </x:c>
      <x:c r="AF2" s="7" t="str">
        <x:v>T07 | اقتصاد محصول و کانال</x:v>
      </x:c>
      <x:c r="AG2" s="7" t="str">
        <x:v>T07 | اقتصاد محصول و کانال</x:v>
      </x:c>
      <x:c r="AH2" s="7" t="str">
        <x:v>T07 | اقتصاد محصول و کانال</x:v>
      </x:c>
      <x:c r="AI2" s="7" t="str">
        <x:v>T07 | اقتصاد محصول و کانال</x:v>
      </x:c>
      <x:c r="AJ2" s="7" t="str">
        <x:v>T07 | اقتصاد محصول و کانال</x:v>
      </x:c>
      <x:c r="AK2" s="7" t="str">
        <x:v>T07 | اقتصاد محصول و کانال</x:v>
      </x:c>
      <x:c r="AL2" s="7" t="str">
        <x:v>T07 | اقتصاد محصول و کانال</x:v>
      </x:c>
      <x:c r="AM2" s="7" t="str">
        <x:v>T07 | اقتصاد محصول و کانال</x:v>
      </x:c>
      <x:c r="AN2" s="7" t="str">
        <x:v>T07 | اقتصاد محصول و کانال</x:v>
      </x:c>
      <x:c r="AO2" s="7" t="str">
        <x:v>T07 | اقتصاد محصول و کانال</x:v>
      </x:c>
      <x:c r="AP2" s="7" t="str">
        <x:v>T07 | اقتصاد محصول و کانال</x:v>
      </x:c>
    </x:row>
    <x:row r="3" ht="15" hidden="0" customHeight="1">
      <x:c r="A3" s="13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B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C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D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E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F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G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H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I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J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K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L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M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N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O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P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Q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R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S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T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U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V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W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X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Y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Z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A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B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C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D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E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F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G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H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I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J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K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L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M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N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O3" s="14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  <x:c r="AP3" s="15" t="str">
        <x:v>یک ردیف برابر یک SKU، یک کانال و یک ماه است. فروش، تخفیف، مرجوعی و همه هزینه‌های متغیر را در همان دامنه ثبت کنید. سلول‌های زرد نمونه آموزشی‌اند.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  <x:c r="AL4" s="3"/>
      <x:c r="AM4" s="3"/>
      <x:c r="AN4" s="3"/>
      <x:c r="AO4" s="3"/>
      <x:c r="AP4" s="3"/>
    </x:row>
    <x:row r="5" ht="15" hidden="0" customHeight="1">
      <x:c r="A5" s="17" t="str">
        <x:v>نزدیک‌ترین سفارش بعدی</x:v>
      </x:c>
      <x:c r="B5" s="70" t="n">
        <x:v>46315</x:v>
      </x:c>
      <x:c r="C5" s="70" t="str"/>
      <x:c r="D5" s="17" t="str">
        <x:v>پوشش موجودی آخرین ماه</x:v>
      </x:c>
      <x:c r="E5" s="71" t="n">
        <x:f>IF(COUNT($B$9:$B$88)=0,"n.a.",IF(SUMIFS($J$9:$J$88,$B$9:$B$88,MAX($B$9:$B$88))=0,"n.a.",SUMIFS($AH$9:$AH$88,$B$9:$B$88,MAX($B$9:$B$88))/(SUMIFS($J$9:$J$88,$B$9:$B$88,MAX($B$9:$B$88))/4.33)))</x:f>
        <x:v>2.8866666666666667</x:v>
      </x:c>
      <x:c r="F5" s="71" t="str"/>
      <x:c r="G5" s="17" t="str">
        <x:v>فروش خالص کل</x:v>
      </x:c>
      <x:c r="H5" s="72" t="n">
        <x:f>IF(COUNTA($C$9:$C$88)=0,"n.a.",SUM($Q$9:$Q$88))</x:f>
        <x:v>3348000000</x:v>
      </x:c>
      <x:c r="I5" s="72" t="str"/>
      <x:c r="J5" s="72" t="str">
        <x:v>CM2 کل</x:v>
      </x:c>
      <x:c r="K5" s="72" t="n">
        <x:f>IF(COUNTA($C$9:$C$88)=0,"n.a.",SUM($AB$9:$AB$88))</x:f>
        <x:v>595200000</x:v>
      </x:c>
      <x:c r="L5" s="72" t="str"/>
      <x:c r="M5" s="17" t="str">
        <x:v>اختلاف سفارش با قیف</x:v>
      </x:c>
      <x:c r="N5" s="73" t="n">
        <x:f>SUM($K$9:$K$88)-SUM('قیف و آزمایش‌ها'!$H$14:$H$33)</x:f>
        <x:v>0</x:v>
      </x:c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  <x:c r="AL5" s="3"/>
      <x:c r="AM5" s="3"/>
      <x:c r="AN5" s="3"/>
      <x:c r="AO5" s="3"/>
      <x:c r="AP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  <x:c r="AL6" s="3"/>
      <x:c r="AM6" s="3"/>
      <x:c r="AN6" s="3"/>
      <x:c r="AO6" s="3"/>
      <x:c r="AP6" s="3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  <x:c r="AL7" s="3"/>
      <x:c r="AM7" s="3"/>
      <x:c r="AN7" s="3"/>
      <x:c r="AO7" s="3"/>
      <x:c r="AP7" s="3"/>
    </x:row>
    <x:row r="8" ht="15" hidden="0" customHeight="1">
      <x:c r="A8" s="41" t="str">
        <x:v>شناسه</x:v>
      </x:c>
      <x:c r="B8" s="41" t="str">
        <x:v>ماه</x:v>
      </x:c>
      <x:c r="C8" s="41" t="str">
        <x:v>SKU</x:v>
      </x:c>
      <x:c r="D8" s="41" t="str">
        <x:v>محصول</x:v>
      </x:c>
      <x:c r="E8" s="41" t="str">
        <x:v>نقش SKU</x:v>
      </x:c>
      <x:c r="F8" s="41" t="str">
        <x:v>کانال</x:v>
      </x:c>
      <x:c r="G8" s="41" t="str">
        <x:v>بچ / لات</x:v>
      </x:c>
      <x:c r="H8" s="41" t="str">
        <x:v>وضعیت T06</x:v>
      </x:c>
      <x:c r="I8" s="41" t="str">
        <x:v>کانال مشکوک</x:v>
      </x:c>
      <x:c r="J8" s="41" t="str">
        <x:v>واحد تحویل‌شده</x:v>
      </x:c>
      <x:c r="K8" s="41" t="str">
        <x:v>سفارش پرداخت‌شده</x:v>
      </x:c>
      <x:c r="L8" s="41" t="str">
        <x:v>مشتری جدید</x:v>
      </x:c>
      <x:c r="M8" s="41" t="str">
        <x:v>قیمت فهرست واحد</x:v>
      </x:c>
      <x:c r="N8" s="41" t="str">
        <x:v>تخفیف</x:v>
      </x:c>
      <x:c r="O8" s="41" t="str">
        <x:v>بازپرداخت / مرجوعی</x:v>
      </x:c>
      <x:c r="P8" s="41" t="str">
        <x:v>فروش ناخالص</x:v>
      </x:c>
      <x:c r="Q8" s="41" t="str">
        <x:v>فروش خالص</x:v>
      </x:c>
      <x:c r="R8" s="41" t="str">
        <x:v>COGS واحد</x:v>
      </x:c>
      <x:c r="S8" s="41" t="str">
        <x:v>COGS کل</x:v>
      </x:c>
      <x:c r="T8" s="41" t="str">
        <x:v>نرخ کارمزد کانال</x:v>
      </x:c>
      <x:c r="U8" s="41" t="str">
        <x:v>کارمزد کانال</x:v>
      </x:c>
      <x:c r="V8" s="41" t="str">
        <x:v>انجام سفارش و حمل</x:v>
      </x:c>
      <x:c r="W8" s="41" t="str">
        <x:v>کارمزد پرداخت</x:v>
      </x:c>
      <x:c r="X8" s="41" t="str">
        <x:v>گارانتی و خدمت</x:v>
      </x:c>
      <x:c r="Y8" s="41" t="str">
        <x:v>هزینه جذب</x:v>
      </x:c>
      <x:c r="Z8" s="41" t="str">
        <x:v>سایر متغیر</x:v>
      </x:c>
      <x:c r="AA8" s="41" t="str">
        <x:v>CM1</x:v>
      </x:c>
      <x:c r="AB8" s="41" t="str">
        <x:v>CM2</x:v>
      </x:c>
      <x:c r="AC8" s="41" t="str">
        <x:v>نسبت CM2</x:v>
      </x:c>
      <x:c r="AD8" s="41" t="str">
        <x:v>CAC</x:v>
      </x:c>
      <x:c r="AE8" s="41" t="str">
        <x:v>AOV</x:v>
      </x:c>
      <x:c r="AF8" s="41" t="str">
        <x:v>موجودی اول</x:v>
      </x:c>
      <x:c r="AG8" s="41" t="str">
        <x:v>ورودی موجودی</x:v>
      </x:c>
      <x:c r="AH8" s="41" t="str">
        <x:v>موجودی پایان</x:v>
      </x:c>
      <x:c r="AI8" s="41" t="str">
        <x:v>گردش موجودی</x:v>
      </x:c>
      <x:c r="AJ8" s="41" t="str">
        <x:v>پوشش موجودی هفته</x:v>
      </x:c>
      <x:c r="AK8" s="41" t="str">
        <x:v>تاریخ سفارش بعدی</x:v>
      </x:c>
      <x:c r="AL8" s="41" t="str">
        <x:v>فروش خالص افزایشی</x:v>
      </x:c>
      <x:c r="AM8" s="41" t="str">
        <x:v>CM2 از دست‌رفته هم‌خواری</x:v>
      </x:c>
      <x:c r="AN8" s="41" t="str">
        <x:v>CM2 افزایشی</x:v>
      </x:c>
      <x:c r="AO8" s="41" t="str">
        <x:v>کد منبع / هزینه</x:v>
      </x:c>
      <x:c r="AP8" s="41" t="str">
        <x:v>توضیح</x:v>
      </x:c>
    </x:row>
    <x:row r="9" ht="15" hidden="0" customHeight="1">
      <x:c r="A9" s="22" t="str">
        <x:v>DEMO-01</x:v>
      </x:c>
      <x:c r="B9" s="81" t="n">
        <x:v>46266</x:v>
      </x:c>
      <x:c r="C9" s="22" t="str">
        <x:v>نمونه-SKU01</x:v>
      </x:c>
      <x:c r="D9" s="261" t="str">
        <x:v>محصول آموزشی فصل یازدهم</x:v>
      </x:c>
      <x:c r="E9" s="261" t="str">
        <x:v>محصول هسته</x:v>
      </x:c>
      <x:c r="F9" s="261" t="str">
        <x:v>فروشگاه آنلاین</x:v>
      </x:c>
      <x:c r="G9" s="22" t="str">
        <x:v>DEMO-B001</x:v>
      </x:c>
      <x:c r="H9" s="22" t="str">
        <x:v>آزادشده</x:v>
      </x:c>
      <x:c r="I9" s="22" t="str">
        <x:v>خیر</x:v>
      </x:c>
      <x:c r="J9" s="30" t="n">
        <x:v>200</x:v>
      </x:c>
      <x:c r="K9" s="30" t="n">
        <x:v>182</x:v>
      </x:c>
      <x:c r="L9" s="30" t="n">
        <x:v>127</x:v>
      </x:c>
      <x:c r="M9" s="30" t="n">
        <x:v>1000000</x:v>
      </x:c>
      <x:c r="N9" s="30" t="n">
        <x:v>16000000</x:v>
      </x:c>
      <x:c r="O9" s="30" t="n">
        <x:v>4000000</x:v>
      </x:c>
      <x:c r="P9" s="82" t="n">
        <x:f>IF(OR($C9="",$J9="",$M9=""),"",J9*M9)</x:f>
        <x:v>200000000</x:v>
      </x:c>
      <x:c r="Q9" s="82" t="n">
        <x:f>IF(P9="","",P9-N9-O9)</x:f>
        <x:v>180000000</x:v>
      </x:c>
      <x:c r="R9" s="30" t="n">
        <x:v>450000</x:v>
      </x:c>
      <x:c r="S9" s="82" t="n">
        <x:f>IF(OR($C9="",$J9="",$R9=""),"",J9*R9)</x:f>
        <x:v>90000000</x:v>
      </x:c>
      <x:c r="T9" s="31" t="n">
        <x:v>0.1</x:v>
      </x:c>
      <x:c r="U9" s="82" t="n">
        <x:f>IF(OR($C9="",$Q9="",$T9=""),"",Q9*T9)</x:f>
        <x:v>18000000</x:v>
      </x:c>
      <x:c r="V9" s="30" t="n">
        <x:v>10000000</x:v>
      </x:c>
      <x:c r="W9" s="30" t="n">
        <x:v>2000000</x:v>
      </x:c>
      <x:c r="X9" s="30" t="n">
        <x:v>4000000</x:v>
      </x:c>
      <x:c r="Y9" s="30" t="n">
        <x:v>24000000</x:v>
      </x:c>
      <x:c r="Z9" s="30" t="n">
        <x:v>0</x:v>
      </x:c>
      <x:c r="AA9" s="82" t="n">
        <x:f>IF($C9="","",Q9-S9-U9-V9-W9-X9-Z9)</x:f>
        <x:v>56000000</x:v>
      </x:c>
      <x:c r="AB9" s="82" t="n">
        <x:f>IF($C9="","",AA9-Y9)</x:f>
        <x:v>32000000</x:v>
      </x:c>
      <x:c r="AC9" s="83" t="n">
        <x:f>IF(OR($C9="",Q9=0),"n.a.",AB9/Q9)</x:f>
        <x:v>0.17777777777777778</x:v>
      </x:c>
      <x:c r="AD9" s="82" t="n">
        <x:f>IF(OR($C9="",L9=0),"n.a.",Y9/L9)</x:f>
        <x:v>188976.3779527559</x:v>
      </x:c>
      <x:c r="AE9" s="82" t="n">
        <x:f>IF(OR($C9="",K9=0),"n.a.",Q9/K9)</x:f>
        <x:v>989010.989010989</x:v>
      </x:c>
      <x:c r="AF9" s="30" t="n">
        <x:v>900</x:v>
      </x:c>
      <x:c r="AG9" s="30" t="n">
        <x:v>0</x:v>
      </x:c>
      <x:c r="AH9" s="30" t="n">
        <x:v>700</x:v>
      </x:c>
      <x:c r="AI9" s="84" t="n">
        <x:f>IF(OR($C9="",AF9="",AH9="",AVERAGE(AF9,AH9)=0),"n.a.",J9/AVERAGE(AF9,AH9))</x:f>
        <x:v>0.25</x:v>
      </x:c>
      <x:c r="AJ9" s="84" t="n">
        <x:f>IF(OR($C9="",J9=0,AH9=""),"n.a.",AH9/(J9/4.33))</x:f>
        <x:v>15.155000000000001</x:v>
      </x:c>
      <x:c r="AK9" s="29"/>
      <x:c r="AL9" s="30"/>
      <x:c r="AM9" s="30" t="n">
        <x:v>0</x:v>
      </x:c>
      <x:c r="AN9" s="82" t="str">
        <x:f>IF(OR($C9="",AL9="",NOT(ISNUMBER(AC9))),"",AL9*AC9-AM9)</x:f>
      </x:c>
      <x:c r="AO9" s="261" t="str">
        <x:v>SRC-DEMO / C01,C03:C07</x:v>
      </x:c>
      <x:c r="AP9" s="261" t="str">
        <x:v>نمونه آموزشی</x:v>
      </x:c>
    </x:row>
    <x:row r="10" ht="15" hidden="0" customHeight="1">
      <x:c r="A10" s="22" t="str">
        <x:v>DEMO-02</x:v>
      </x:c>
      <x:c r="B10" s="81" t="n">
        <x:v>46296</x:v>
      </x:c>
      <x:c r="C10" s="22" t="str">
        <x:v>نمونه-SKU01</x:v>
      </x:c>
      <x:c r="D10" s="261" t="str">
        <x:v>محصول آموزشی فصل یازدهم</x:v>
      </x:c>
      <x:c r="E10" s="261" t="str">
        <x:v>محصول هسته</x:v>
      </x:c>
      <x:c r="F10" s="261" t="str">
        <x:v>فروشگاه آنلاین</x:v>
      </x:c>
      <x:c r="G10" s="22" t="str">
        <x:v>DEMO-B001</x:v>
      </x:c>
      <x:c r="H10" s="22" t="str">
        <x:v>آزادشده</x:v>
      </x:c>
      <x:c r="I10" s="22" t="str">
        <x:v>خیر</x:v>
      </x:c>
      <x:c r="J10" s="30" t="n">
        <x:v>220</x:v>
      </x:c>
      <x:c r="K10" s="30" t="n">
        <x:v>200</x:v>
      </x:c>
      <x:c r="L10" s="30" t="n">
        <x:v>140</x:v>
      </x:c>
      <x:c r="M10" s="30" t="n">
        <x:v>1000000</x:v>
      </x:c>
      <x:c r="N10" s="30" t="n">
        <x:v>17600000</x:v>
      </x:c>
      <x:c r="O10" s="30" t="n">
        <x:v>4400000</x:v>
      </x:c>
      <x:c r="P10" s="82" t="n">
        <x:f>IF(OR($C10="",$J10="",$M10=""),"",J10*M10)</x:f>
        <x:v>220000000</x:v>
      </x:c>
      <x:c r="Q10" s="82" t="n">
        <x:f>IF(P10="","",P10-N10-O10)</x:f>
        <x:v>198000000</x:v>
      </x:c>
      <x:c r="R10" s="30" t="n">
        <x:v>450000</x:v>
      </x:c>
      <x:c r="S10" s="82" t="n">
        <x:f>IF(OR($C10="",$J10="",$R10=""),"",J10*R10)</x:f>
        <x:v>99000000</x:v>
      </x:c>
      <x:c r="T10" s="31" t="n">
        <x:v>0.1</x:v>
      </x:c>
      <x:c r="U10" s="82" t="n">
        <x:f>IF(OR($C10="",$Q10="",$T10=""),"",Q10*T10)</x:f>
        <x:v>19800000</x:v>
      </x:c>
      <x:c r="V10" s="30" t="n">
        <x:v>11000000</x:v>
      </x:c>
      <x:c r="W10" s="30" t="n">
        <x:v>2200000</x:v>
      </x:c>
      <x:c r="X10" s="30" t="n">
        <x:v>4400000</x:v>
      </x:c>
      <x:c r="Y10" s="30" t="n">
        <x:v>26400000</x:v>
      </x:c>
      <x:c r="Z10" s="30" t="n">
        <x:v>0</x:v>
      </x:c>
      <x:c r="AA10" s="82" t="n">
        <x:f>IF($C10="","",Q10-S10-U10-V10-W10-X10-Z10)</x:f>
        <x:v>61600000</x:v>
      </x:c>
      <x:c r="AB10" s="82" t="n">
        <x:f>IF($C10="","",AA10-Y10)</x:f>
        <x:v>35200000</x:v>
      </x:c>
      <x:c r="AC10" s="83" t="n">
        <x:f>IF(OR($C10="",Q10=0),"n.a.",AB10/Q10)</x:f>
        <x:v>0.17777777777777778</x:v>
      </x:c>
      <x:c r="AD10" s="82" t="n">
        <x:f>IF(OR($C10="",L10=0),"n.a.",Y10/L10)</x:f>
        <x:v>188571.42857142858</x:v>
      </x:c>
      <x:c r="AE10" s="82" t="n">
        <x:f>IF(OR($C10="",K10=0),"n.a.",Q10/K10)</x:f>
        <x:v>990000</x:v>
      </x:c>
      <x:c r="AF10" s="30" t="n">
        <x:v>700</x:v>
      </x:c>
      <x:c r="AG10" s="30" t="n">
        <x:v>0</x:v>
      </x:c>
      <x:c r="AH10" s="30" t="n">
        <x:v>480</x:v>
      </x:c>
      <x:c r="AI10" s="84" t="n">
        <x:f>IF(OR($C10="",AF10="",AH10="",AVERAGE(AF10,AH10)=0),"n.a.",J10/AVERAGE(AF10,AH10))</x:f>
        <x:v>0.3728813559322034</x:v>
      </x:c>
      <x:c r="AJ10" s="84" t="n">
        <x:f>IF(OR($C10="",J10=0,AH10=""),"n.a.",AH10/(J10/4.33))</x:f>
        <x:v>9.447272727272727</x:v>
      </x:c>
      <x:c r="AK10" s="29"/>
      <x:c r="AL10" s="30"/>
      <x:c r="AM10" s="30" t="n">
        <x:v>0</x:v>
      </x:c>
      <x:c r="AN10" s="82" t="str">
        <x:f>IF(OR($C10="",AL10="",NOT(ISNUMBER(AC10))),"",AL10*AC10-AM10)</x:f>
      </x:c>
      <x:c r="AO10" s="261" t="str">
        <x:v>SRC-DEMO / C01,C03:C07</x:v>
      </x:c>
      <x:c r="AP10" s="261" t="str">
        <x:v>نمونه آموزشی</x:v>
      </x:c>
    </x:row>
    <x:row r="11" ht="15" hidden="0" customHeight="1">
      <x:c r="A11" s="22" t="str">
        <x:v>DEMO-03</x:v>
      </x:c>
      <x:c r="B11" s="81" t="n">
        <x:v>46327</x:v>
      </x:c>
      <x:c r="C11" s="22" t="str">
        <x:v>نمونه-SKU01</x:v>
      </x:c>
      <x:c r="D11" s="261" t="str">
        <x:v>محصول آموزشی فصل یازدهم</x:v>
      </x:c>
      <x:c r="E11" s="261" t="str">
        <x:v>محصول هسته</x:v>
      </x:c>
      <x:c r="F11" s="261" t="str">
        <x:v>فروشگاه آنلاین</x:v>
      </x:c>
      <x:c r="G11" s="22" t="str">
        <x:v>DEMO-B001</x:v>
      </x:c>
      <x:c r="H11" s="22" t="str">
        <x:v>آزادشده</x:v>
      </x:c>
      <x:c r="I11" s="22" t="str">
        <x:v>خیر</x:v>
      </x:c>
      <x:c r="J11" s="30" t="n">
        <x:v>240</x:v>
      </x:c>
      <x:c r="K11" s="30" t="n">
        <x:v>218</x:v>
      </x:c>
      <x:c r="L11" s="30" t="n">
        <x:v>153</x:v>
      </x:c>
      <x:c r="M11" s="30" t="n">
        <x:v>1000000</x:v>
      </x:c>
      <x:c r="N11" s="30" t="n">
        <x:v>19200000</x:v>
      </x:c>
      <x:c r="O11" s="30" t="n">
        <x:v>4800000</x:v>
      </x:c>
      <x:c r="P11" s="82" t="n">
        <x:f>IF(OR($C11="",$J11="",$M11=""),"",J11*M11)</x:f>
        <x:v>240000000</x:v>
      </x:c>
      <x:c r="Q11" s="82" t="n">
        <x:f>IF(P11="","",P11-N11-O11)</x:f>
        <x:v>216000000</x:v>
      </x:c>
      <x:c r="R11" s="30" t="n">
        <x:v>450000</x:v>
      </x:c>
      <x:c r="S11" s="82" t="n">
        <x:f>IF(OR($C11="",$J11="",$R11=""),"",J11*R11)</x:f>
        <x:v>108000000</x:v>
      </x:c>
      <x:c r="T11" s="31" t="n">
        <x:v>0.1</x:v>
      </x:c>
      <x:c r="U11" s="82" t="n">
        <x:f>IF(OR($C11="",$Q11="",$T11=""),"",Q11*T11)</x:f>
        <x:v>21600000</x:v>
      </x:c>
      <x:c r="V11" s="30" t="n">
        <x:v>12000000</x:v>
      </x:c>
      <x:c r="W11" s="30" t="n">
        <x:v>2400000</x:v>
      </x:c>
      <x:c r="X11" s="30" t="n">
        <x:v>4800000</x:v>
      </x:c>
      <x:c r="Y11" s="30" t="n">
        <x:v>28800000</x:v>
      </x:c>
      <x:c r="Z11" s="30" t="n">
        <x:v>0</x:v>
      </x:c>
      <x:c r="AA11" s="82" t="n">
        <x:f>IF($C11="","",Q11-S11-U11-V11-W11-X11-Z11)</x:f>
        <x:v>67200000</x:v>
      </x:c>
      <x:c r="AB11" s="82" t="n">
        <x:f>IF($C11="","",AA11-Y11)</x:f>
        <x:v>38400000</x:v>
      </x:c>
      <x:c r="AC11" s="83" t="n">
        <x:f>IF(OR($C11="",Q11=0),"n.a.",AB11/Q11)</x:f>
        <x:v>0.17777777777777778</x:v>
      </x:c>
      <x:c r="AD11" s="82" t="n">
        <x:f>IF(OR($C11="",L11=0),"n.a.",Y11/L11)</x:f>
        <x:v>188235.29411764705</x:v>
      </x:c>
      <x:c r="AE11" s="82" t="n">
        <x:f>IF(OR($C11="",K11=0),"n.a.",Q11/K11)</x:f>
        <x:v>990825.6880733945</x:v>
      </x:c>
      <x:c r="AF11" s="30" t="n">
        <x:v>480</x:v>
      </x:c>
      <x:c r="AG11" s="30" t="n">
        <x:v>0</x:v>
      </x:c>
      <x:c r="AH11" s="30" t="n">
        <x:v>240</x:v>
      </x:c>
      <x:c r="AI11" s="84" t="n">
        <x:f>IF(OR($C11="",AF11="",AH11="",AVERAGE(AF11,AH11)=0),"n.a.",J11/AVERAGE(AF11,AH11))</x:f>
        <x:v>0.6666666666666666</x:v>
      </x:c>
      <x:c r="AJ11" s="84" t="n">
        <x:f>IF(OR($C11="",J11=0,AH11=""),"n.a.",AH11/(J11/4.33))</x:f>
        <x:v>4.33</x:v>
      </x:c>
      <x:c r="AK11" s="29"/>
      <x:c r="AL11" s="30"/>
      <x:c r="AM11" s="30" t="n">
        <x:v>0</x:v>
      </x:c>
      <x:c r="AN11" s="82" t="str">
        <x:f>IF(OR($C11="",AL11="",NOT(ISNUMBER(AC11))),"",AL11*AC11-AM11)</x:f>
      </x:c>
      <x:c r="AO11" s="261" t="str">
        <x:v>SRC-DEMO / C01,C03:C07</x:v>
      </x:c>
      <x:c r="AP11" s="261" t="str">
        <x:v>نمونه آموزشی</x:v>
      </x:c>
    </x:row>
    <x:row r="12" ht="15" hidden="0" customHeight="1">
      <x:c r="A12" s="22" t="str">
        <x:v>DEMO-04</x:v>
      </x:c>
      <x:c r="B12" s="81" t="n">
        <x:v>46357</x:v>
      </x:c>
      <x:c r="C12" s="22" t="str">
        <x:v>نمونه-SKU01</x:v>
      </x:c>
      <x:c r="D12" s="261" t="str">
        <x:v>محصول آموزشی فصل یازدهم</x:v>
      </x:c>
      <x:c r="E12" s="261" t="str">
        <x:v>محصول هسته</x:v>
      </x:c>
      <x:c r="F12" s="261" t="str">
        <x:v>فروشگاه آنلاین</x:v>
      </x:c>
      <x:c r="G12" s="22" t="str">
        <x:v>DEMO-B002</x:v>
      </x:c>
      <x:c r="H12" s="22" t="str">
        <x:v>آزادشده</x:v>
      </x:c>
      <x:c r="I12" s="22" t="str">
        <x:v>خیر</x:v>
      </x:c>
      <x:c r="J12" s="30" t="n">
        <x:v>260</x:v>
      </x:c>
      <x:c r="K12" s="30" t="n">
        <x:v>236</x:v>
      </x:c>
      <x:c r="L12" s="30" t="n">
        <x:v>165</x:v>
      </x:c>
      <x:c r="M12" s="30" t="n">
        <x:v>1000000</x:v>
      </x:c>
      <x:c r="N12" s="30" t="n">
        <x:v>20800000</x:v>
      </x:c>
      <x:c r="O12" s="30" t="n">
        <x:v>5200000</x:v>
      </x:c>
      <x:c r="P12" s="82" t="n">
        <x:f>IF(OR($C12="",$J12="",$M12=""),"",J12*M12)</x:f>
        <x:v>260000000</x:v>
      </x:c>
      <x:c r="Q12" s="82" t="n">
        <x:f>IF(P12="","",P12-N12-O12)</x:f>
        <x:v>234000000</x:v>
      </x:c>
      <x:c r="R12" s="30" t="n">
        <x:v>450000</x:v>
      </x:c>
      <x:c r="S12" s="82" t="n">
        <x:f>IF(OR($C12="",$J12="",$R12=""),"",J12*R12)</x:f>
        <x:v>117000000</x:v>
      </x:c>
      <x:c r="T12" s="31" t="n">
        <x:v>0.1</x:v>
      </x:c>
      <x:c r="U12" s="82" t="n">
        <x:f>IF(OR($C12="",$Q12="",$T12=""),"",Q12*T12)</x:f>
        <x:v>23400000</x:v>
      </x:c>
      <x:c r="V12" s="30" t="n">
        <x:v>13000000</x:v>
      </x:c>
      <x:c r="W12" s="30" t="n">
        <x:v>2600000</x:v>
      </x:c>
      <x:c r="X12" s="30" t="n">
        <x:v>5200000</x:v>
      </x:c>
      <x:c r="Y12" s="30" t="n">
        <x:v>31200000</x:v>
      </x:c>
      <x:c r="Z12" s="30" t="n">
        <x:v>0</x:v>
      </x:c>
      <x:c r="AA12" s="82" t="n">
        <x:f>IF($C12="","",Q12-S12-U12-V12-W12-X12-Z12)</x:f>
        <x:v>72800000</x:v>
      </x:c>
      <x:c r="AB12" s="82" t="n">
        <x:f>IF($C12="","",AA12-Y12)</x:f>
        <x:v>41600000</x:v>
      </x:c>
      <x:c r="AC12" s="83" t="n">
        <x:f>IF(OR($C12="",Q12=0),"n.a.",AB12/Q12)</x:f>
        <x:v>0.17777777777777778</x:v>
      </x:c>
      <x:c r="AD12" s="82" t="n">
        <x:f>IF(OR($C12="",L12=0),"n.a.",Y12/L12)</x:f>
        <x:v>189090.9090909091</x:v>
      </x:c>
      <x:c r="AE12" s="82" t="n">
        <x:f>IF(OR($C12="",K12=0),"n.a.",Q12/K12)</x:f>
        <x:v>991525.4237288135</x:v>
      </x:c>
      <x:c r="AF12" s="30" t="n">
        <x:v>240</x:v>
      </x:c>
      <x:c r="AG12" s="30" t="n">
        <x:v>900</x:v>
      </x:c>
      <x:c r="AH12" s="30" t="n">
        <x:v>880</x:v>
      </x:c>
      <x:c r="AI12" s="84" t="n">
        <x:f>IF(OR($C12="",AF12="",AH12="",AVERAGE(AF12,AH12)=0),"n.a.",J12/AVERAGE(AF12,AH12))</x:f>
        <x:v>0.4642857142857143</x:v>
      </x:c>
      <x:c r="AJ12" s="84" t="n">
        <x:f>IF(OR($C12="",J12=0,AH12=""),"n.a.",AH12/(J12/4.33))</x:f>
        <x:v>14.655384615384616</x:v>
      </x:c>
      <x:c r="AK12" s="29"/>
      <x:c r="AL12" s="30"/>
      <x:c r="AM12" s="30" t="n">
        <x:v>0</x:v>
      </x:c>
      <x:c r="AN12" s="82" t="str">
        <x:f>IF(OR($C12="",AL12="",NOT(ISNUMBER(AC12))),"",AL12*AC12-AM12)</x:f>
      </x:c>
      <x:c r="AO12" s="261" t="str">
        <x:v>SRC-DEMO / C01,C03:C07</x:v>
      </x:c>
      <x:c r="AP12" s="261" t="str">
        <x:v>نمونه آموزشی</x:v>
      </x:c>
    </x:row>
    <x:row r="13" ht="15" hidden="0" customHeight="1">
      <x:c r="A13" s="22" t="str">
        <x:v>DEMO-05</x:v>
      </x:c>
      <x:c r="B13" s="81" t="n">
        <x:v>46388</x:v>
      </x:c>
      <x:c r="C13" s="22" t="str">
        <x:v>نمونه-SKU01</x:v>
      </x:c>
      <x:c r="D13" s="261" t="str">
        <x:v>محصول آموزشی فصل یازدهم</x:v>
      </x:c>
      <x:c r="E13" s="261" t="str">
        <x:v>محصول هسته</x:v>
      </x:c>
      <x:c r="F13" s="261" t="str">
        <x:v>فروشگاه آنلاین</x:v>
      </x:c>
      <x:c r="G13" s="22" t="str">
        <x:v>DEMO-B002</x:v>
      </x:c>
      <x:c r="H13" s="22" t="str">
        <x:v>آزادشده</x:v>
      </x:c>
      <x:c r="I13" s="22" t="str">
        <x:v>خیر</x:v>
      </x:c>
      <x:c r="J13" s="30" t="n">
        <x:v>280</x:v>
      </x:c>
      <x:c r="K13" s="30" t="n">
        <x:v>255</x:v>
      </x:c>
      <x:c r="L13" s="30" t="n">
        <x:v>179</x:v>
      </x:c>
      <x:c r="M13" s="30" t="n">
        <x:v>1000000</x:v>
      </x:c>
      <x:c r="N13" s="30" t="n">
        <x:v>22400000</x:v>
      </x:c>
      <x:c r="O13" s="30" t="n">
        <x:v>5600000</x:v>
      </x:c>
      <x:c r="P13" s="82" t="n">
        <x:f>IF(OR($C13="",$J13="",$M13=""),"",J13*M13)</x:f>
        <x:v>280000000</x:v>
      </x:c>
      <x:c r="Q13" s="82" t="n">
        <x:f>IF(P13="","",P13-N13-O13)</x:f>
        <x:v>252000000</x:v>
      </x:c>
      <x:c r="R13" s="30" t="n">
        <x:v>450000</x:v>
      </x:c>
      <x:c r="S13" s="82" t="n">
        <x:f>IF(OR($C13="",$J13="",$R13=""),"",J13*R13)</x:f>
        <x:v>126000000</x:v>
      </x:c>
      <x:c r="T13" s="31" t="n">
        <x:v>0.1</x:v>
      </x:c>
      <x:c r="U13" s="82" t="n">
        <x:f>IF(OR($C13="",$Q13="",$T13=""),"",Q13*T13)</x:f>
        <x:v>25200000</x:v>
      </x:c>
      <x:c r="V13" s="30" t="n">
        <x:v>14000000</x:v>
      </x:c>
      <x:c r="W13" s="30" t="n">
        <x:v>2800000</x:v>
      </x:c>
      <x:c r="X13" s="30" t="n">
        <x:v>5600000</x:v>
      </x:c>
      <x:c r="Y13" s="30" t="n">
        <x:v>33600000</x:v>
      </x:c>
      <x:c r="Z13" s="30" t="n">
        <x:v>0</x:v>
      </x:c>
      <x:c r="AA13" s="82" t="n">
        <x:f>IF($C13="","",Q13-S13-U13-V13-W13-X13-Z13)</x:f>
        <x:v>78400000</x:v>
      </x:c>
      <x:c r="AB13" s="82" t="n">
        <x:f>IF($C13="","",AA13-Y13)</x:f>
        <x:v>44800000</x:v>
      </x:c>
      <x:c r="AC13" s="83" t="n">
        <x:f>IF(OR($C13="",Q13=0),"n.a.",AB13/Q13)</x:f>
        <x:v>0.17777777777777778</x:v>
      </x:c>
      <x:c r="AD13" s="82" t="n">
        <x:f>IF(OR($C13="",L13=0),"n.a.",Y13/L13)</x:f>
        <x:v>187709.4972067039</x:v>
      </x:c>
      <x:c r="AE13" s="82" t="n">
        <x:f>IF(OR($C13="",K13=0),"n.a.",Q13/K13)</x:f>
        <x:v>988235.2941176471</x:v>
      </x:c>
      <x:c r="AF13" s="30" t="n">
        <x:v>880</x:v>
      </x:c>
      <x:c r="AG13" s="30" t="n">
        <x:v>0</x:v>
      </x:c>
      <x:c r="AH13" s="30" t="n">
        <x:v>600</x:v>
      </x:c>
      <x:c r="AI13" s="84" t="n">
        <x:f>IF(OR($C13="",AF13="",AH13="",AVERAGE(AF13,AH13)=0),"n.a.",J13/AVERAGE(AF13,AH13))</x:f>
        <x:v>0.3783783783783784</x:v>
      </x:c>
      <x:c r="AJ13" s="84" t="n">
        <x:f>IF(OR($C13="",J13=0,AH13=""),"n.a.",AH13/(J13/4.33))</x:f>
        <x:v>9.278571428571428</x:v>
      </x:c>
      <x:c r="AK13" s="29"/>
      <x:c r="AL13" s="30"/>
      <x:c r="AM13" s="30" t="n">
        <x:v>0</x:v>
      </x:c>
      <x:c r="AN13" s="82" t="str">
        <x:f>IF(OR($C13="",AL13="",NOT(ISNUMBER(AC13))),"",AL13*AC13-AM13)</x:f>
      </x:c>
      <x:c r="AO13" s="261" t="str">
        <x:v>SRC-DEMO / C01,C03:C07</x:v>
      </x:c>
      <x:c r="AP13" s="261" t="str">
        <x:v>نمونه آموزشی</x:v>
      </x:c>
    </x:row>
    <x:row r="14" ht="15" hidden="0" customHeight="1">
      <x:c r="A14" s="22" t="str">
        <x:v>DEMO-06</x:v>
      </x:c>
      <x:c r="B14" s="81" t="n">
        <x:v>46419</x:v>
      </x:c>
      <x:c r="C14" s="22" t="str">
        <x:v>نمونه-SKU01</x:v>
      </x:c>
      <x:c r="D14" s="261" t="str">
        <x:v>محصول آموزشی فصل یازدهم</x:v>
      </x:c>
      <x:c r="E14" s="261" t="str">
        <x:v>محصول هسته</x:v>
      </x:c>
      <x:c r="F14" s="261" t="str">
        <x:v>فروشگاه آنلاین</x:v>
      </x:c>
      <x:c r="G14" s="22" t="str">
        <x:v>DEMO-B002</x:v>
      </x:c>
      <x:c r="H14" s="22" t="str">
        <x:v>آزادشده</x:v>
      </x:c>
      <x:c r="I14" s="22" t="str">
        <x:v>خیر</x:v>
      </x:c>
      <x:c r="J14" s="30" t="n">
        <x:v>300</x:v>
      </x:c>
      <x:c r="K14" s="30" t="n">
        <x:v>273</x:v>
      </x:c>
      <x:c r="L14" s="30" t="n">
        <x:v>191</x:v>
      </x:c>
      <x:c r="M14" s="30" t="n">
        <x:v>1000000</x:v>
      </x:c>
      <x:c r="N14" s="30" t="n">
        <x:v>24000000</x:v>
      </x:c>
      <x:c r="O14" s="30" t="n">
        <x:v>6000000</x:v>
      </x:c>
      <x:c r="P14" s="82" t="n">
        <x:f>IF(OR($C14="",$J14="",$M14=""),"",J14*M14)</x:f>
        <x:v>300000000</x:v>
      </x:c>
      <x:c r="Q14" s="82" t="n">
        <x:f>IF(P14="","",P14-N14-O14)</x:f>
        <x:v>270000000</x:v>
      </x:c>
      <x:c r="R14" s="30" t="n">
        <x:v>450000</x:v>
      </x:c>
      <x:c r="S14" s="82" t="n">
        <x:f>IF(OR($C14="",$J14="",$R14=""),"",J14*R14)</x:f>
        <x:v>135000000</x:v>
      </x:c>
      <x:c r="T14" s="31" t="n">
        <x:v>0.1</x:v>
      </x:c>
      <x:c r="U14" s="82" t="n">
        <x:f>IF(OR($C14="",$Q14="",$T14=""),"",Q14*T14)</x:f>
        <x:v>27000000</x:v>
      </x:c>
      <x:c r="V14" s="30" t="n">
        <x:v>15000000</x:v>
      </x:c>
      <x:c r="W14" s="30" t="n">
        <x:v>3000000</x:v>
      </x:c>
      <x:c r="X14" s="30" t="n">
        <x:v>6000000</x:v>
      </x:c>
      <x:c r="Y14" s="30" t="n">
        <x:v>36000000</x:v>
      </x:c>
      <x:c r="Z14" s="30" t="n">
        <x:v>0</x:v>
      </x:c>
      <x:c r="AA14" s="82" t="n">
        <x:f>IF($C14="","",Q14-S14-U14-V14-W14-X14-Z14)</x:f>
        <x:v>84000000</x:v>
      </x:c>
      <x:c r="AB14" s="82" t="n">
        <x:f>IF($C14="","",AA14-Y14)</x:f>
        <x:v>48000000</x:v>
      </x:c>
      <x:c r="AC14" s="83" t="n">
        <x:f>IF(OR($C14="",Q14=0),"n.a.",AB14/Q14)</x:f>
        <x:v>0.17777777777777778</x:v>
      </x:c>
      <x:c r="AD14" s="82" t="n">
        <x:f>IF(OR($C14="",L14=0),"n.a.",Y14/L14)</x:f>
        <x:v>188481.67539267015</x:v>
      </x:c>
      <x:c r="AE14" s="82" t="n">
        <x:f>IF(OR($C14="",K14=0),"n.a.",Q14/K14)</x:f>
        <x:v>989010.989010989</x:v>
      </x:c>
      <x:c r="AF14" s="30" t="n">
        <x:v>600</x:v>
      </x:c>
      <x:c r="AG14" s="30" t="n">
        <x:v>0</x:v>
      </x:c>
      <x:c r="AH14" s="30" t="n">
        <x:v>300</x:v>
      </x:c>
      <x:c r="AI14" s="84" t="n">
        <x:f>IF(OR($C14="",AF14="",AH14="",AVERAGE(AF14,AH14)=0),"n.a.",J14/AVERAGE(AF14,AH14))</x:f>
        <x:v>0.6666666666666666</x:v>
      </x:c>
      <x:c r="AJ14" s="84" t="n">
        <x:f>IF(OR($C14="",J14=0,AH14=""),"n.a.",AH14/(J14/4.33))</x:f>
        <x:v>4.33</x:v>
      </x:c>
      <x:c r="AK14" s="29"/>
      <x:c r="AL14" s="30"/>
      <x:c r="AM14" s="30" t="n">
        <x:v>0</x:v>
      </x:c>
      <x:c r="AN14" s="82" t="str">
        <x:f>IF(OR($C14="",AL14="",NOT(ISNUMBER(AC14))),"",AL14*AC14-AM14)</x:f>
      </x:c>
      <x:c r="AO14" s="261" t="str">
        <x:v>SRC-DEMO / C01,C03:C07</x:v>
      </x:c>
      <x:c r="AP14" s="261" t="str">
        <x:v>نمونه آموزشی</x:v>
      </x:c>
    </x:row>
    <x:row r="15" ht="15" hidden="0" customHeight="1">
      <x:c r="A15" s="22" t="str">
        <x:v>DEMO-07</x:v>
      </x:c>
      <x:c r="B15" s="81" t="n">
        <x:v>46447</x:v>
      </x:c>
      <x:c r="C15" s="22" t="str">
        <x:v>نمونه-SKU01</x:v>
      </x:c>
      <x:c r="D15" s="261" t="str">
        <x:v>محصول آموزشی فصل یازدهم</x:v>
      </x:c>
      <x:c r="E15" s="261" t="str">
        <x:v>محصول هسته</x:v>
      </x:c>
      <x:c r="F15" s="261" t="str">
        <x:v>فروشگاه آنلاین</x:v>
      </x:c>
      <x:c r="G15" s="22" t="str">
        <x:v>DEMO-B003</x:v>
      </x:c>
      <x:c r="H15" s="22" t="str">
        <x:v>آزادشده</x:v>
      </x:c>
      <x:c r="I15" s="22" t="str">
        <x:v>خیر</x:v>
      </x:c>
      <x:c r="J15" s="30" t="n">
        <x:v>320</x:v>
      </x:c>
      <x:c r="K15" s="30" t="n">
        <x:v>291</x:v>
      </x:c>
      <x:c r="L15" s="30" t="n">
        <x:v>204</x:v>
      </x:c>
      <x:c r="M15" s="30" t="n">
        <x:v>1000000</x:v>
      </x:c>
      <x:c r="N15" s="30" t="n">
        <x:v>25600000</x:v>
      </x:c>
      <x:c r="O15" s="30" t="n">
        <x:v>6400000</x:v>
      </x:c>
      <x:c r="P15" s="82" t="n">
        <x:f>IF(OR($C15="",$J15="",$M15=""),"",J15*M15)</x:f>
        <x:v>320000000</x:v>
      </x:c>
      <x:c r="Q15" s="82" t="n">
        <x:f>IF(P15="","",P15-N15-O15)</x:f>
        <x:v>288000000</x:v>
      </x:c>
      <x:c r="R15" s="30" t="n">
        <x:v>450000</x:v>
      </x:c>
      <x:c r="S15" s="82" t="n">
        <x:f>IF(OR($C15="",$J15="",$R15=""),"",J15*R15)</x:f>
        <x:v>144000000</x:v>
      </x:c>
      <x:c r="T15" s="31" t="n">
        <x:v>0.1</x:v>
      </x:c>
      <x:c r="U15" s="82" t="n">
        <x:f>IF(OR($C15="",$Q15="",$T15=""),"",Q15*T15)</x:f>
        <x:v>28800000</x:v>
      </x:c>
      <x:c r="V15" s="30" t="n">
        <x:v>16000000</x:v>
      </x:c>
      <x:c r="W15" s="30" t="n">
        <x:v>3200000</x:v>
      </x:c>
      <x:c r="X15" s="30" t="n">
        <x:v>6400000</x:v>
      </x:c>
      <x:c r="Y15" s="30" t="n">
        <x:v>38400000</x:v>
      </x:c>
      <x:c r="Z15" s="30" t="n">
        <x:v>0</x:v>
      </x:c>
      <x:c r="AA15" s="82" t="n">
        <x:f>IF($C15="","",Q15-S15-U15-V15-W15-X15-Z15)</x:f>
        <x:v>89600000</x:v>
      </x:c>
      <x:c r="AB15" s="82" t="n">
        <x:f>IF($C15="","",AA15-Y15)</x:f>
        <x:v>51200000</x:v>
      </x:c>
      <x:c r="AC15" s="83" t="n">
        <x:f>IF(OR($C15="",Q15=0),"n.a.",AB15/Q15)</x:f>
        <x:v>0.17777777777777778</x:v>
      </x:c>
      <x:c r="AD15" s="82" t="n">
        <x:f>IF(OR($C15="",L15=0),"n.a.",Y15/L15)</x:f>
        <x:v>188235.29411764705</x:v>
      </x:c>
      <x:c r="AE15" s="82" t="n">
        <x:f>IF(OR($C15="",K15=0),"n.a.",Q15/K15)</x:f>
        <x:v>989690.7216494846</x:v>
      </x:c>
      <x:c r="AF15" s="30" t="n">
        <x:v>300</x:v>
      </x:c>
      <x:c r="AG15" s="30" t="n">
        <x:v>1000</x:v>
      </x:c>
      <x:c r="AH15" s="30" t="n">
        <x:v>980</x:v>
      </x:c>
      <x:c r="AI15" s="84" t="n">
        <x:f>IF(OR($C15="",AF15="",AH15="",AVERAGE(AF15,AH15)=0),"n.a.",J15/AVERAGE(AF15,AH15))</x:f>
        <x:v>0.5</x:v>
      </x:c>
      <x:c r="AJ15" s="84" t="n">
        <x:f>IF(OR($C15="",J15=0,AH15=""),"n.a.",AH15/(J15/4.33))</x:f>
        <x:v>13.260625000000001</x:v>
      </x:c>
      <x:c r="AK15" s="29"/>
      <x:c r="AL15" s="30"/>
      <x:c r="AM15" s="30" t="n">
        <x:v>0</x:v>
      </x:c>
      <x:c r="AN15" s="82" t="str">
        <x:f>IF(OR($C15="",AL15="",NOT(ISNUMBER(AC15))),"",AL15*AC15-AM15)</x:f>
      </x:c>
      <x:c r="AO15" s="261" t="str">
        <x:v>SRC-DEMO / C01,C03:C07</x:v>
      </x:c>
      <x:c r="AP15" s="261" t="str">
        <x:v>نمونه آموزشی</x:v>
      </x:c>
    </x:row>
    <x:row r="16" ht="15" hidden="0" customHeight="1">
      <x:c r="A16" s="22" t="str">
        <x:v>DEMO-08</x:v>
      </x:c>
      <x:c r="B16" s="81" t="n">
        <x:v>46478</x:v>
      </x:c>
      <x:c r="C16" s="22" t="str">
        <x:v>نمونه-SKU01</x:v>
      </x:c>
      <x:c r="D16" s="261" t="str">
        <x:v>محصول آموزشی فصل یازدهم</x:v>
      </x:c>
      <x:c r="E16" s="261" t="str">
        <x:v>محصول هسته</x:v>
      </x:c>
      <x:c r="F16" s="261" t="str">
        <x:v>فروشگاه آنلاین</x:v>
      </x:c>
      <x:c r="G16" s="22" t="str">
        <x:v>DEMO-B003</x:v>
      </x:c>
      <x:c r="H16" s="22" t="str">
        <x:v>آزادشده</x:v>
      </x:c>
      <x:c r="I16" s="22" t="str">
        <x:v>خیر</x:v>
      </x:c>
      <x:c r="J16" s="30" t="n">
        <x:v>340</x:v>
      </x:c>
      <x:c r="K16" s="30" t="n">
        <x:v>309</x:v>
      </x:c>
      <x:c r="L16" s="30" t="n">
        <x:v>216</x:v>
      </x:c>
      <x:c r="M16" s="30" t="n">
        <x:v>1000000</x:v>
      </x:c>
      <x:c r="N16" s="30" t="n">
        <x:v>27200000</x:v>
      </x:c>
      <x:c r="O16" s="30" t="n">
        <x:v>6800000</x:v>
      </x:c>
      <x:c r="P16" s="82" t="n">
        <x:f>IF(OR($C16="",$J16="",$M16=""),"",J16*M16)</x:f>
        <x:v>340000000</x:v>
      </x:c>
      <x:c r="Q16" s="82" t="n">
        <x:f>IF(P16="","",P16-N16-O16)</x:f>
        <x:v>306000000</x:v>
      </x:c>
      <x:c r="R16" s="30" t="n">
        <x:v>450000</x:v>
      </x:c>
      <x:c r="S16" s="82" t="n">
        <x:f>IF(OR($C16="",$J16="",$R16=""),"",J16*R16)</x:f>
        <x:v>153000000</x:v>
      </x:c>
      <x:c r="T16" s="31" t="n">
        <x:v>0.1</x:v>
      </x:c>
      <x:c r="U16" s="82" t="n">
        <x:f>IF(OR($C16="",$Q16="",$T16=""),"",Q16*T16)</x:f>
        <x:v>30600000</x:v>
      </x:c>
      <x:c r="V16" s="30" t="n">
        <x:v>17000000</x:v>
      </x:c>
      <x:c r="W16" s="30" t="n">
        <x:v>3400000</x:v>
      </x:c>
      <x:c r="X16" s="30" t="n">
        <x:v>6800000</x:v>
      </x:c>
      <x:c r="Y16" s="30" t="n">
        <x:v>40800000</x:v>
      </x:c>
      <x:c r="Z16" s="30" t="n">
        <x:v>0</x:v>
      </x:c>
      <x:c r="AA16" s="82" t="n">
        <x:f>IF($C16="","",Q16-S16-U16-V16-W16-X16-Z16)</x:f>
        <x:v>95200000</x:v>
      </x:c>
      <x:c r="AB16" s="82" t="n">
        <x:f>IF($C16="","",AA16-Y16)</x:f>
        <x:v>54400000</x:v>
      </x:c>
      <x:c r="AC16" s="83" t="n">
        <x:f>IF(OR($C16="",Q16=0),"n.a.",AB16/Q16)</x:f>
        <x:v>0.17777777777777778</x:v>
      </x:c>
      <x:c r="AD16" s="82" t="n">
        <x:f>IF(OR($C16="",L16=0),"n.a.",Y16/L16)</x:f>
        <x:v>188888.88888888888</x:v>
      </x:c>
      <x:c r="AE16" s="82" t="n">
        <x:f>IF(OR($C16="",K16=0),"n.a.",Q16/K16)</x:f>
        <x:v>990291.2621359223</x:v>
      </x:c>
      <x:c r="AF16" s="30" t="n">
        <x:v>980</x:v>
      </x:c>
      <x:c r="AG16" s="30" t="n">
        <x:v>0</x:v>
      </x:c>
      <x:c r="AH16" s="30" t="n">
        <x:v>640</x:v>
      </x:c>
      <x:c r="AI16" s="84" t="n">
        <x:f>IF(OR($C16="",AF16="",AH16="",AVERAGE(AF16,AH16)=0),"n.a.",J16/AVERAGE(AF16,AH16))</x:f>
        <x:v>0.41975308641975306</x:v>
      </x:c>
      <x:c r="AJ16" s="84" t="n">
        <x:f>IF(OR($C16="",J16=0,AH16=""),"n.a.",AH16/(J16/4.33))</x:f>
        <x:v>8.15058823529412</x:v>
      </x:c>
      <x:c r="AK16" s="29"/>
      <x:c r="AL16" s="30"/>
      <x:c r="AM16" s="30" t="n">
        <x:v>0</x:v>
      </x:c>
      <x:c r="AN16" s="82" t="str">
        <x:f>IF(OR($C16="",AL16="",NOT(ISNUMBER(AC16))),"",AL16*AC16-AM16)</x:f>
      </x:c>
      <x:c r="AO16" s="261" t="str">
        <x:v>SRC-DEMO / C01,C03:C07</x:v>
      </x:c>
      <x:c r="AP16" s="261" t="str">
        <x:v>نمونه آموزشی</x:v>
      </x:c>
    </x:row>
    <x:row r="17" ht="15" hidden="0" customHeight="1">
      <x:c r="A17" s="22" t="str">
        <x:v>DEMO-09</x:v>
      </x:c>
      <x:c r="B17" s="81" t="n">
        <x:v>46508</x:v>
      </x:c>
      <x:c r="C17" s="22" t="str">
        <x:v>نمونه-SKU01</x:v>
      </x:c>
      <x:c r="D17" s="261" t="str">
        <x:v>محصول آموزشی فصل یازدهم</x:v>
      </x:c>
      <x:c r="E17" s="261" t="str">
        <x:v>محصول هسته</x:v>
      </x:c>
      <x:c r="F17" s="261" t="str">
        <x:v>فروشگاه آنلاین</x:v>
      </x:c>
      <x:c r="G17" s="22" t="str">
        <x:v>DEMO-B003</x:v>
      </x:c>
      <x:c r="H17" s="22" t="str">
        <x:v>آزادشده</x:v>
      </x:c>
      <x:c r="I17" s="22" t="str">
        <x:v>خیر</x:v>
      </x:c>
      <x:c r="J17" s="30" t="n">
        <x:v>360</x:v>
      </x:c>
      <x:c r="K17" s="30" t="n">
        <x:v>327</x:v>
      </x:c>
      <x:c r="L17" s="30" t="n">
        <x:v>229</x:v>
      </x:c>
      <x:c r="M17" s="30" t="n">
        <x:v>1000000</x:v>
      </x:c>
      <x:c r="N17" s="30" t="n">
        <x:v>28800000</x:v>
      </x:c>
      <x:c r="O17" s="30" t="n">
        <x:v>7200000</x:v>
      </x:c>
      <x:c r="P17" s="82" t="n">
        <x:f>IF(OR($C17="",$J17="",$M17=""),"",J17*M17)</x:f>
        <x:v>360000000</x:v>
      </x:c>
      <x:c r="Q17" s="82" t="n">
        <x:f>IF(P17="","",P17-N17-O17)</x:f>
        <x:v>324000000</x:v>
      </x:c>
      <x:c r="R17" s="30" t="n">
        <x:v>450000</x:v>
      </x:c>
      <x:c r="S17" s="82" t="n">
        <x:f>IF(OR($C17="",$J17="",$R17=""),"",J17*R17)</x:f>
        <x:v>162000000</x:v>
      </x:c>
      <x:c r="T17" s="31" t="n">
        <x:v>0.1</x:v>
      </x:c>
      <x:c r="U17" s="82" t="n">
        <x:f>IF(OR($C17="",$Q17="",$T17=""),"",Q17*T17)</x:f>
        <x:v>32400000</x:v>
      </x:c>
      <x:c r="V17" s="30" t="n">
        <x:v>18000000</x:v>
      </x:c>
      <x:c r="W17" s="30" t="n">
        <x:v>3600000</x:v>
      </x:c>
      <x:c r="X17" s="30" t="n">
        <x:v>7200000</x:v>
      </x:c>
      <x:c r="Y17" s="30" t="n">
        <x:v>43200000</x:v>
      </x:c>
      <x:c r="Z17" s="30" t="n">
        <x:v>0</x:v>
      </x:c>
      <x:c r="AA17" s="82" t="n">
        <x:f>IF($C17="","",Q17-S17-U17-V17-W17-X17-Z17)</x:f>
        <x:v>100800000</x:v>
      </x:c>
      <x:c r="AB17" s="82" t="n">
        <x:f>IF($C17="","",AA17-Y17)</x:f>
        <x:v>57600000</x:v>
      </x:c>
      <x:c r="AC17" s="83" t="n">
        <x:f>IF(OR($C17="",Q17=0),"n.a.",AB17/Q17)</x:f>
        <x:v>0.17777777777777778</x:v>
      </x:c>
      <x:c r="AD17" s="82" t="n">
        <x:f>IF(OR($C17="",L17=0),"n.a.",Y17/L17)</x:f>
        <x:v>188646.28820960698</x:v>
      </x:c>
      <x:c r="AE17" s="82" t="n">
        <x:f>IF(OR($C17="",K17=0),"n.a.",Q17/K17)</x:f>
        <x:v>990825.6880733945</x:v>
      </x:c>
      <x:c r="AF17" s="30" t="n">
        <x:v>640</x:v>
      </x:c>
      <x:c r="AG17" s="30" t="n">
        <x:v>0</x:v>
      </x:c>
      <x:c r="AH17" s="30" t="n">
        <x:v>280</x:v>
      </x:c>
      <x:c r="AI17" s="84" t="n">
        <x:f>IF(OR($C17="",AF17="",AH17="",AVERAGE(AF17,AH17)=0),"n.a.",J17/AVERAGE(AF17,AH17))</x:f>
        <x:v>0.782608695652174</x:v>
      </x:c>
      <x:c r="AJ17" s="84" t="n">
        <x:f>IF(OR($C17="",J17=0,AH17=""),"n.a.",AH17/(J17/4.33))</x:f>
        <x:v>3.3677777777777775</x:v>
      </x:c>
      <x:c r="AK17" s="29"/>
      <x:c r="AL17" s="30"/>
      <x:c r="AM17" s="30" t="n">
        <x:v>0</x:v>
      </x:c>
      <x:c r="AN17" s="82" t="str">
        <x:f>IF(OR($C17="",AL17="",NOT(ISNUMBER(AC17))),"",AL17*AC17-AM17)</x:f>
      </x:c>
      <x:c r="AO17" s="261" t="str">
        <x:v>SRC-DEMO / C01,C03:C07</x:v>
      </x:c>
      <x:c r="AP17" s="261" t="str">
        <x:v>نمونه آموزشی</x:v>
      </x:c>
    </x:row>
    <x:row r="18" ht="15" hidden="0" customHeight="1">
      <x:c r="A18" s="22" t="str">
        <x:v>DEMO-10</x:v>
      </x:c>
      <x:c r="B18" s="81" t="n">
        <x:v>46539</x:v>
      </x:c>
      <x:c r="C18" s="22" t="str">
        <x:v>نمونه-SKU01</x:v>
      </x:c>
      <x:c r="D18" s="261" t="str">
        <x:v>محصول آموزشی فصل یازدهم</x:v>
      </x:c>
      <x:c r="E18" s="261" t="str">
        <x:v>محصول هسته</x:v>
      </x:c>
      <x:c r="F18" s="261" t="str">
        <x:v>فروشگاه آنلاین</x:v>
      </x:c>
      <x:c r="G18" s="22" t="str">
        <x:v>DEMO-B004</x:v>
      </x:c>
      <x:c r="H18" s="22" t="str">
        <x:v>آزادشده</x:v>
      </x:c>
      <x:c r="I18" s="22" t="str">
        <x:v>خیر</x:v>
      </x:c>
      <x:c r="J18" s="30" t="n">
        <x:v>380</x:v>
      </x:c>
      <x:c r="K18" s="30" t="n">
        <x:v>345</x:v>
      </x:c>
      <x:c r="L18" s="30" t="n">
        <x:v>241</x:v>
      </x:c>
      <x:c r="M18" s="30" t="n">
        <x:v>1000000</x:v>
      </x:c>
      <x:c r="N18" s="30" t="n">
        <x:v>30400000</x:v>
      </x:c>
      <x:c r="O18" s="30" t="n">
        <x:v>7600000</x:v>
      </x:c>
      <x:c r="P18" s="82" t="n">
        <x:f>IF(OR($C18="",$J18="",$M18=""),"",J18*M18)</x:f>
        <x:v>380000000</x:v>
      </x:c>
      <x:c r="Q18" s="82" t="n">
        <x:f>IF(P18="","",P18-N18-O18)</x:f>
        <x:v>342000000</x:v>
      </x:c>
      <x:c r="R18" s="30" t="n">
        <x:v>450000</x:v>
      </x:c>
      <x:c r="S18" s="82" t="n">
        <x:f>IF(OR($C18="",$J18="",$R18=""),"",J18*R18)</x:f>
        <x:v>171000000</x:v>
      </x:c>
      <x:c r="T18" s="31" t="n">
        <x:v>0.1</x:v>
      </x:c>
      <x:c r="U18" s="82" t="n">
        <x:f>IF(OR($C18="",$Q18="",$T18=""),"",Q18*T18)</x:f>
        <x:v>34200000</x:v>
      </x:c>
      <x:c r="V18" s="30" t="n">
        <x:v>19000000</x:v>
      </x:c>
      <x:c r="W18" s="30" t="n">
        <x:v>3800000</x:v>
      </x:c>
      <x:c r="X18" s="30" t="n">
        <x:v>7600000</x:v>
      </x:c>
      <x:c r="Y18" s="30" t="n">
        <x:v>45600000</x:v>
      </x:c>
      <x:c r="Z18" s="30" t="n">
        <x:v>0</x:v>
      </x:c>
      <x:c r="AA18" s="82" t="n">
        <x:f>IF($C18="","",Q18-S18-U18-V18-W18-X18-Z18)</x:f>
        <x:v>106400000</x:v>
      </x:c>
      <x:c r="AB18" s="82" t="n">
        <x:f>IF($C18="","",AA18-Y18)</x:f>
        <x:v>60800000</x:v>
      </x:c>
      <x:c r="AC18" s="83" t="n">
        <x:f>IF(OR($C18="",Q18=0),"n.a.",AB18/Q18)</x:f>
        <x:v>0.17777777777777778</x:v>
      </x:c>
      <x:c r="AD18" s="82" t="n">
        <x:f>IF(OR($C18="",L18=0),"n.a.",Y18/L18)</x:f>
        <x:v>189211.6182572614</x:v>
      </x:c>
      <x:c r="AE18" s="82" t="n">
        <x:f>IF(OR($C18="",K18=0),"n.a.",Q18/K18)</x:f>
        <x:v>991304.3478260869</x:v>
      </x:c>
      <x:c r="AF18" s="30" t="n">
        <x:v>280</x:v>
      </x:c>
      <x:c r="AG18" s="30" t="n">
        <x:v>1200</x:v>
      </x:c>
      <x:c r="AH18" s="30" t="n">
        <x:v>1100</x:v>
      </x:c>
      <x:c r="AI18" s="84" t="n">
        <x:f>IF(OR($C18="",AF18="",AH18="",AVERAGE(AF18,AH18)=0),"n.a.",J18/AVERAGE(AF18,AH18))</x:f>
        <x:v>0.5507246376811594</x:v>
      </x:c>
      <x:c r="AJ18" s="84" t="n">
        <x:f>IF(OR($C18="",J18=0,AH18=""),"n.a.",AH18/(J18/4.33))</x:f>
        <x:v>12.534210526315789</x:v>
      </x:c>
      <x:c r="AK18" s="29"/>
      <x:c r="AL18" s="30"/>
      <x:c r="AM18" s="30" t="n">
        <x:v>0</x:v>
      </x:c>
      <x:c r="AN18" s="82" t="str">
        <x:f>IF(OR($C18="",AL18="",NOT(ISNUMBER(AC18))),"",AL18*AC18-AM18)</x:f>
      </x:c>
      <x:c r="AO18" s="261" t="str">
        <x:v>SRC-DEMO / C01,C03:C07</x:v>
      </x:c>
      <x:c r="AP18" s="261" t="str">
        <x:v>نمونه آموزشی</x:v>
      </x:c>
    </x:row>
    <x:row r="19" ht="15" hidden="0" customHeight="1">
      <x:c r="A19" s="22" t="str">
        <x:v>DEMO-11</x:v>
      </x:c>
      <x:c r="B19" s="81" t="n">
        <x:v>46569</x:v>
      </x:c>
      <x:c r="C19" s="22" t="str">
        <x:v>نمونه-SKU01</x:v>
      </x:c>
      <x:c r="D19" s="261" t="str">
        <x:v>محصول آموزشی فصل یازدهم</x:v>
      </x:c>
      <x:c r="E19" s="261" t="str">
        <x:v>محصول هسته</x:v>
      </x:c>
      <x:c r="F19" s="261" t="str">
        <x:v>فروشگاه آنلاین</x:v>
      </x:c>
      <x:c r="G19" s="22" t="str">
        <x:v>DEMO-B004</x:v>
      </x:c>
      <x:c r="H19" s="22" t="str">
        <x:v>آزادشده</x:v>
      </x:c>
      <x:c r="I19" s="22" t="str">
        <x:v>خیر</x:v>
      </x:c>
      <x:c r="J19" s="30" t="n">
        <x:v>400</x:v>
      </x:c>
      <x:c r="K19" s="30" t="n">
        <x:v>364</x:v>
      </x:c>
      <x:c r="L19" s="30" t="n">
        <x:v>255</x:v>
      </x:c>
      <x:c r="M19" s="30" t="n">
        <x:v>1000000</x:v>
      </x:c>
      <x:c r="N19" s="30" t="n">
        <x:v>32000000</x:v>
      </x:c>
      <x:c r="O19" s="30" t="n">
        <x:v>8000000</x:v>
      </x:c>
      <x:c r="P19" s="82" t="n">
        <x:f>IF(OR($C19="",$J19="",$M19=""),"",J19*M19)</x:f>
        <x:v>400000000</x:v>
      </x:c>
      <x:c r="Q19" s="82" t="n">
        <x:f>IF(P19="","",P19-N19-O19)</x:f>
        <x:v>360000000</x:v>
      </x:c>
      <x:c r="R19" s="30" t="n">
        <x:v>450000</x:v>
      </x:c>
      <x:c r="S19" s="82" t="n">
        <x:f>IF(OR($C19="",$J19="",$R19=""),"",J19*R19)</x:f>
        <x:v>180000000</x:v>
      </x:c>
      <x:c r="T19" s="31" t="n">
        <x:v>0.1</x:v>
      </x:c>
      <x:c r="U19" s="82" t="n">
        <x:f>IF(OR($C19="",$Q19="",$T19=""),"",Q19*T19)</x:f>
        <x:v>36000000</x:v>
      </x:c>
      <x:c r="V19" s="30" t="n">
        <x:v>20000000</x:v>
      </x:c>
      <x:c r="W19" s="30" t="n">
        <x:v>4000000</x:v>
      </x:c>
      <x:c r="X19" s="30" t="n">
        <x:v>8000000</x:v>
      </x:c>
      <x:c r="Y19" s="30" t="n">
        <x:v>48000000</x:v>
      </x:c>
      <x:c r="Z19" s="30" t="n">
        <x:v>0</x:v>
      </x:c>
      <x:c r="AA19" s="82" t="n">
        <x:f>IF($C19="","",Q19-S19-U19-V19-W19-X19-Z19)</x:f>
        <x:v>112000000</x:v>
      </x:c>
      <x:c r="AB19" s="82" t="n">
        <x:f>IF($C19="","",AA19-Y19)</x:f>
        <x:v>64000000</x:v>
      </x:c>
      <x:c r="AC19" s="83" t="n">
        <x:f>IF(OR($C19="",Q19=0),"n.a.",AB19/Q19)</x:f>
        <x:v>0.17777777777777778</x:v>
      </x:c>
      <x:c r="AD19" s="82" t="n">
        <x:f>IF(OR($C19="",L19=0),"n.a.",Y19/L19)</x:f>
        <x:v>188235.29411764705</x:v>
      </x:c>
      <x:c r="AE19" s="82" t="n">
        <x:f>IF(OR($C19="",K19=0),"n.a.",Q19/K19)</x:f>
        <x:v>989010.989010989</x:v>
      </x:c>
      <x:c r="AF19" s="30" t="n">
        <x:v>1100</x:v>
      </x:c>
      <x:c r="AG19" s="30" t="n">
        <x:v>0</x:v>
      </x:c>
      <x:c r="AH19" s="30" t="n">
        <x:v>700</x:v>
      </x:c>
      <x:c r="AI19" s="84" t="n">
        <x:f>IF(OR($C19="",AF19="",AH19="",AVERAGE(AF19,AH19)=0),"n.a.",J19/AVERAGE(AF19,AH19))</x:f>
        <x:v>0.4444444444444444</x:v>
      </x:c>
      <x:c r="AJ19" s="84" t="n">
        <x:f>IF(OR($C19="",J19=0,AH19=""),"n.a.",AH19/(J19/4.33))</x:f>
        <x:v>7.577500000000001</x:v>
      </x:c>
      <x:c r="AK19" s="29"/>
      <x:c r="AL19" s="30"/>
      <x:c r="AM19" s="30" t="n">
        <x:v>0</x:v>
      </x:c>
      <x:c r="AN19" s="82" t="str">
        <x:f>IF(OR($C19="",AL19="",NOT(ISNUMBER(AC19))),"",AL19*AC19-AM19)</x:f>
      </x:c>
      <x:c r="AO19" s="261" t="str">
        <x:v>SRC-DEMO / C01,C03:C07</x:v>
      </x:c>
      <x:c r="AP19" s="261" t="str">
        <x:v>نمونه آموزشی</x:v>
      </x:c>
    </x:row>
    <x:row r="20" ht="15" hidden="0" customHeight="1">
      <x:c r="A20" s="22" t="str">
        <x:v>DEMO-12</x:v>
      </x:c>
      <x:c r="B20" s="81" t="n">
        <x:v>46600</x:v>
      </x:c>
      <x:c r="C20" s="22" t="str">
        <x:v>نمونه-SKU01</x:v>
      </x:c>
      <x:c r="D20" s="261" t="str">
        <x:v>محصول آموزشی فصل یازدهم</x:v>
      </x:c>
      <x:c r="E20" s="261" t="str">
        <x:v>محصول هسته</x:v>
      </x:c>
      <x:c r="F20" s="261" t="str">
        <x:v>فروشگاه آنلاین</x:v>
      </x:c>
      <x:c r="G20" s="22" t="str">
        <x:v>DEMO-B004</x:v>
      </x:c>
      <x:c r="H20" s="22" t="str">
        <x:v>آزادشده</x:v>
      </x:c>
      <x:c r="I20" s="22" t="str">
        <x:v>خیر</x:v>
      </x:c>
      <x:c r="J20" s="30" t="n">
        <x:v>420</x:v>
      </x:c>
      <x:c r="K20" s="30" t="n">
        <x:v>382</x:v>
      </x:c>
      <x:c r="L20" s="30" t="n">
        <x:v>267</x:v>
      </x:c>
      <x:c r="M20" s="30" t="n">
        <x:v>1000000</x:v>
      </x:c>
      <x:c r="N20" s="30" t="n">
        <x:v>33600000</x:v>
      </x:c>
      <x:c r="O20" s="30" t="n">
        <x:v>8400000</x:v>
      </x:c>
      <x:c r="P20" s="82" t="n">
        <x:f>IF(OR($C20="",$J20="",$M20=""),"",J20*M20)</x:f>
        <x:v>420000000</x:v>
      </x:c>
      <x:c r="Q20" s="82" t="n">
        <x:f>IF(P20="","",P20-N20-O20)</x:f>
        <x:v>378000000</x:v>
      </x:c>
      <x:c r="R20" s="30" t="n">
        <x:v>450000</x:v>
      </x:c>
      <x:c r="S20" s="82" t="n">
        <x:f>IF(OR($C20="",$J20="",$R20=""),"",J20*R20)</x:f>
        <x:v>189000000</x:v>
      </x:c>
      <x:c r="T20" s="31" t="n">
        <x:v>0.1</x:v>
      </x:c>
      <x:c r="U20" s="82" t="n">
        <x:f>IF(OR($C20="",$Q20="",$T20=""),"",Q20*T20)</x:f>
        <x:v>37800000</x:v>
      </x:c>
      <x:c r="V20" s="30" t="n">
        <x:v>21000000</x:v>
      </x:c>
      <x:c r="W20" s="30" t="n">
        <x:v>4200000</x:v>
      </x:c>
      <x:c r="X20" s="30" t="n">
        <x:v>8400000</x:v>
      </x:c>
      <x:c r="Y20" s="30" t="n">
        <x:v>50400000</x:v>
      </x:c>
      <x:c r="Z20" s="30" t="n">
        <x:v>0</x:v>
      </x:c>
      <x:c r="AA20" s="82" t="n">
        <x:f>IF($C20="","",Q20-S20-U20-V20-W20-X20-Z20)</x:f>
        <x:v>117600000</x:v>
      </x:c>
      <x:c r="AB20" s="82" t="n">
        <x:f>IF($C20="","",AA20-Y20)</x:f>
        <x:v>67200000</x:v>
      </x:c>
      <x:c r="AC20" s="83" t="n">
        <x:f>IF(OR($C20="",Q20=0),"n.a.",AB20/Q20)</x:f>
        <x:v>0.17777777777777778</x:v>
      </x:c>
      <x:c r="AD20" s="82" t="n">
        <x:f>IF(OR($C20="",L20=0),"n.a.",Y20/L20)</x:f>
        <x:v>188764.04494382022</x:v>
      </x:c>
      <x:c r="AE20" s="82" t="n">
        <x:f>IF(OR($C20="",K20=0),"n.a.",Q20/K20)</x:f>
        <x:v>989528.7958115183</x:v>
      </x:c>
      <x:c r="AF20" s="30" t="n">
        <x:v>700</x:v>
      </x:c>
      <x:c r="AG20" s="30" t="n">
        <x:v>0</x:v>
      </x:c>
      <x:c r="AH20" s="30" t="n">
        <x:v>280</x:v>
      </x:c>
      <x:c r="AI20" s="84" t="n">
        <x:f>IF(OR($C20="",AF20="",AH20="",AVERAGE(AF20,AH20)=0),"n.a.",J20/AVERAGE(AF20,AH20))</x:f>
        <x:v>0.8571428571428571</x:v>
      </x:c>
      <x:c r="AJ20" s="84" t="n">
        <x:f>IF(OR($C20="",J20=0,AH20=""),"n.a.",AH20/(J20/4.33))</x:f>
        <x:v>2.8866666666666667</x:v>
      </x:c>
      <x:c r="AK20" s="29"/>
      <x:c r="AL20" s="30"/>
      <x:c r="AM20" s="30" t="n">
        <x:v>0</x:v>
      </x:c>
      <x:c r="AN20" s="82" t="str">
        <x:f>IF(OR($C20="",AL20="",NOT(ISNUMBER(AC20))),"",AL20*AC20-AM20)</x:f>
      </x:c>
      <x:c r="AO20" s="261" t="str">
        <x:v>SRC-DEMO / C01,C03:C07</x:v>
      </x:c>
      <x:c r="AP20" s="261" t="str">
        <x:v>نمونه آموزشی</x:v>
      </x:c>
    </x:row>
    <x:row r="21" ht="15" hidden="0" customHeight="1">
      <x:c r="A21" s="22"/>
      <x:c r="B21" s="81"/>
      <x:c r="C21" s="22"/>
      <x:c r="D21" s="261"/>
      <x:c r="E21" s="261"/>
      <x:c r="F21" s="261"/>
      <x:c r="G21" s="22"/>
      <x:c r="H21" s="22"/>
      <x:c r="I21" s="22"/>
      <x:c r="J21" s="30"/>
      <x:c r="K21" s="30"/>
      <x:c r="L21" s="30"/>
      <x:c r="M21" s="30"/>
      <x:c r="N21" s="30"/>
      <x:c r="O21" s="30"/>
      <x:c r="P21" s="82" t="str">
        <x:f>IF(OR($C21="",$J21="",$M21=""),"",J21*M21)</x:f>
      </x:c>
      <x:c r="Q21" s="82" t="str">
        <x:f>IF(P21="","",P21-N21-O21)</x:f>
      </x:c>
      <x:c r="R21" s="30"/>
      <x:c r="S21" s="82" t="str">
        <x:f>IF(OR($C21="",$J21="",$R21=""),"",J21*R21)</x:f>
      </x:c>
      <x:c r="T21" s="31"/>
      <x:c r="U21" s="82" t="str">
        <x:f>IF(OR($C21="",$Q21="",$T21=""),"",Q21*T21)</x:f>
      </x:c>
      <x:c r="V21" s="30"/>
      <x:c r="W21" s="30"/>
      <x:c r="X21" s="30"/>
      <x:c r="Y21" s="30"/>
      <x:c r="Z21" s="30"/>
      <x:c r="AA21" s="82" t="str">
        <x:f>IF($C21="","",Q21-S21-U21-V21-W21-X21-Z21)</x:f>
      </x:c>
      <x:c r="AB21" s="82" t="str">
        <x:f>IF($C21="","",AA21-Y21)</x:f>
      </x:c>
      <x:c r="AC21" s="83" t="str">
        <x:f>IF(OR($C21="",Q21=0),"n.a.",AB21/Q21)</x:f>
        <x:v>n.a.</x:v>
      </x:c>
      <x:c r="AD21" s="82" t="str">
        <x:f>IF(OR($C21="",L21=0),"n.a.",Y21/L21)</x:f>
        <x:v>n.a.</x:v>
      </x:c>
      <x:c r="AE21" s="82" t="str">
        <x:f>IF(OR($C21="",K21=0),"n.a.",Q21/K21)</x:f>
        <x:v>n.a.</x:v>
      </x:c>
      <x:c r="AF21" s="30"/>
      <x:c r="AG21" s="30"/>
      <x:c r="AH21" s="30"/>
      <x:c r="AI21" s="84" t="str">
        <x:f>IF(OR($C21="",AF21="",AH21="",AVERAGE(AF21,AH21)=0),"n.a.",J21/AVERAGE(AF21,AH21))</x:f>
        <x:v>n.a.</x:v>
      </x:c>
      <x:c r="AJ21" s="84" t="str">
        <x:f>IF(OR($C21="",J21=0,AH21=""),"n.a.",AH21/(J21/4.33))</x:f>
        <x:v>n.a.</x:v>
      </x:c>
      <x:c r="AK21" s="29"/>
      <x:c r="AL21" s="30"/>
      <x:c r="AM21" s="30"/>
      <x:c r="AN21" s="82" t="str">
        <x:f>IF(OR($C21="",AL21="",NOT(ISNUMBER(AC21))),"",AL21*AC21-AM21)</x:f>
      </x:c>
      <x:c r="AO21" s="261"/>
      <x:c r="AP21" s="261"/>
    </x:row>
    <x:row r="22" ht="15" hidden="0" customHeight="1">
      <x:c r="A22" s="22"/>
      <x:c r="B22" s="81"/>
      <x:c r="C22" s="22"/>
      <x:c r="D22" s="261"/>
      <x:c r="E22" s="261"/>
      <x:c r="F22" s="261"/>
      <x:c r="G22" s="22"/>
      <x:c r="H22" s="22"/>
      <x:c r="I22" s="22"/>
      <x:c r="J22" s="30"/>
      <x:c r="K22" s="30"/>
      <x:c r="L22" s="30"/>
      <x:c r="M22" s="30"/>
      <x:c r="N22" s="30"/>
      <x:c r="O22" s="30"/>
      <x:c r="P22" s="82" t="str">
        <x:f>IF(OR($C22="",$J22="",$M22=""),"",J22*M22)</x:f>
      </x:c>
      <x:c r="Q22" s="82" t="str">
        <x:f>IF(P22="","",P22-N22-O22)</x:f>
      </x:c>
      <x:c r="R22" s="30"/>
      <x:c r="S22" s="82" t="str">
        <x:f>IF(OR($C22="",$J22="",$R22=""),"",J22*R22)</x:f>
      </x:c>
      <x:c r="T22" s="31"/>
      <x:c r="U22" s="82" t="str">
        <x:f>IF(OR($C22="",$Q22="",$T22=""),"",Q22*T22)</x:f>
      </x:c>
      <x:c r="V22" s="30"/>
      <x:c r="W22" s="30"/>
      <x:c r="X22" s="30"/>
      <x:c r="Y22" s="30"/>
      <x:c r="Z22" s="30"/>
      <x:c r="AA22" s="82" t="str">
        <x:f>IF($C22="","",Q22-S22-U22-V22-W22-X22-Z22)</x:f>
      </x:c>
      <x:c r="AB22" s="82" t="str">
        <x:f>IF($C22="","",AA22-Y22)</x:f>
      </x:c>
      <x:c r="AC22" s="83" t="str">
        <x:f>IF(OR($C22="",Q22=0),"n.a.",AB22/Q22)</x:f>
        <x:v>n.a.</x:v>
      </x:c>
      <x:c r="AD22" s="82" t="str">
        <x:f>IF(OR($C22="",L22=0),"n.a.",Y22/L22)</x:f>
        <x:v>n.a.</x:v>
      </x:c>
      <x:c r="AE22" s="82" t="str">
        <x:f>IF(OR($C22="",K22=0),"n.a.",Q22/K22)</x:f>
        <x:v>n.a.</x:v>
      </x:c>
      <x:c r="AF22" s="30"/>
      <x:c r="AG22" s="30"/>
      <x:c r="AH22" s="30"/>
      <x:c r="AI22" s="84" t="str">
        <x:f>IF(OR($C22="",AF22="",AH22="",AVERAGE(AF22,AH22)=0),"n.a.",J22/AVERAGE(AF22,AH22))</x:f>
        <x:v>n.a.</x:v>
      </x:c>
      <x:c r="AJ22" s="84" t="str">
        <x:f>IF(OR($C22="",J22=0,AH22=""),"n.a.",AH22/(J22/4.33))</x:f>
        <x:v>n.a.</x:v>
      </x:c>
      <x:c r="AK22" s="29"/>
      <x:c r="AL22" s="30"/>
      <x:c r="AM22" s="30"/>
      <x:c r="AN22" s="82" t="str">
        <x:f>IF(OR($C22="",AL22="",NOT(ISNUMBER(AC22))),"",AL22*AC22-AM22)</x:f>
      </x:c>
      <x:c r="AO22" s="261"/>
      <x:c r="AP22" s="261"/>
    </x:row>
    <x:row r="23" ht="15" hidden="0" customHeight="1">
      <x:c r="A23" s="22"/>
      <x:c r="B23" s="81"/>
      <x:c r="C23" s="22"/>
      <x:c r="D23" s="261"/>
      <x:c r="E23" s="261"/>
      <x:c r="F23" s="261"/>
      <x:c r="G23" s="22"/>
      <x:c r="H23" s="22"/>
      <x:c r="I23" s="22"/>
      <x:c r="J23" s="30"/>
      <x:c r="K23" s="30"/>
      <x:c r="L23" s="30"/>
      <x:c r="M23" s="30"/>
      <x:c r="N23" s="30"/>
      <x:c r="O23" s="30"/>
      <x:c r="P23" s="82" t="str">
        <x:f>IF(OR($C23="",$J23="",$M23=""),"",J23*M23)</x:f>
      </x:c>
      <x:c r="Q23" s="82" t="str">
        <x:f>IF(P23="","",P23-N23-O23)</x:f>
      </x:c>
      <x:c r="R23" s="30"/>
      <x:c r="S23" s="82" t="str">
        <x:f>IF(OR($C23="",$J23="",$R23=""),"",J23*R23)</x:f>
      </x:c>
      <x:c r="T23" s="31"/>
      <x:c r="U23" s="82" t="str">
        <x:f>IF(OR($C23="",$Q23="",$T23=""),"",Q23*T23)</x:f>
      </x:c>
      <x:c r="V23" s="30"/>
      <x:c r="W23" s="30"/>
      <x:c r="X23" s="30"/>
      <x:c r="Y23" s="30"/>
      <x:c r="Z23" s="30"/>
      <x:c r="AA23" s="82" t="str">
        <x:f>IF($C23="","",Q23-S23-U23-V23-W23-X23-Z23)</x:f>
      </x:c>
      <x:c r="AB23" s="82" t="str">
        <x:f>IF($C23="","",AA23-Y23)</x:f>
      </x:c>
      <x:c r="AC23" s="83" t="str">
        <x:f>IF(OR($C23="",Q23=0),"n.a.",AB23/Q23)</x:f>
        <x:v>n.a.</x:v>
      </x:c>
      <x:c r="AD23" s="82" t="str">
        <x:f>IF(OR($C23="",L23=0),"n.a.",Y23/L23)</x:f>
        <x:v>n.a.</x:v>
      </x:c>
      <x:c r="AE23" s="82" t="str">
        <x:f>IF(OR($C23="",K23=0),"n.a.",Q23/K23)</x:f>
        <x:v>n.a.</x:v>
      </x:c>
      <x:c r="AF23" s="30"/>
      <x:c r="AG23" s="30"/>
      <x:c r="AH23" s="30"/>
      <x:c r="AI23" s="84" t="str">
        <x:f>IF(OR($C23="",AF23="",AH23="",AVERAGE(AF23,AH23)=0),"n.a.",J23/AVERAGE(AF23,AH23))</x:f>
        <x:v>n.a.</x:v>
      </x:c>
      <x:c r="AJ23" s="84" t="str">
        <x:f>IF(OR($C23="",J23=0,AH23=""),"n.a.",AH23/(J23/4.33))</x:f>
        <x:v>n.a.</x:v>
      </x:c>
      <x:c r="AK23" s="29"/>
      <x:c r="AL23" s="30"/>
      <x:c r="AM23" s="30"/>
      <x:c r="AN23" s="82" t="str">
        <x:f>IF(OR($C23="",AL23="",NOT(ISNUMBER(AC23))),"",AL23*AC23-AM23)</x:f>
      </x:c>
      <x:c r="AO23" s="261"/>
      <x:c r="AP23" s="261"/>
    </x:row>
    <x:row r="24" ht="15" hidden="0" customHeight="1">
      <x:c r="A24" s="22"/>
      <x:c r="B24" s="81"/>
      <x:c r="C24" s="22"/>
      <x:c r="D24" s="261"/>
      <x:c r="E24" s="261"/>
      <x:c r="F24" s="261"/>
      <x:c r="G24" s="22"/>
      <x:c r="H24" s="22"/>
      <x:c r="I24" s="22"/>
      <x:c r="J24" s="30"/>
      <x:c r="K24" s="30"/>
      <x:c r="L24" s="30"/>
      <x:c r="M24" s="30"/>
      <x:c r="N24" s="30"/>
      <x:c r="O24" s="30"/>
      <x:c r="P24" s="82" t="str">
        <x:f>IF(OR($C24="",$J24="",$M24=""),"",J24*M24)</x:f>
      </x:c>
      <x:c r="Q24" s="82" t="str">
        <x:f>IF(P24="","",P24-N24-O24)</x:f>
      </x:c>
      <x:c r="R24" s="30"/>
      <x:c r="S24" s="82" t="str">
        <x:f>IF(OR($C24="",$J24="",$R24=""),"",J24*R24)</x:f>
      </x:c>
      <x:c r="T24" s="31"/>
      <x:c r="U24" s="82" t="str">
        <x:f>IF(OR($C24="",$Q24="",$T24=""),"",Q24*T24)</x:f>
      </x:c>
      <x:c r="V24" s="30"/>
      <x:c r="W24" s="30"/>
      <x:c r="X24" s="30"/>
      <x:c r="Y24" s="30"/>
      <x:c r="Z24" s="30"/>
      <x:c r="AA24" s="82" t="str">
        <x:f>IF($C24="","",Q24-S24-U24-V24-W24-X24-Z24)</x:f>
      </x:c>
      <x:c r="AB24" s="82" t="str">
        <x:f>IF($C24="","",AA24-Y24)</x:f>
      </x:c>
      <x:c r="AC24" s="83" t="str">
        <x:f>IF(OR($C24="",Q24=0),"n.a.",AB24/Q24)</x:f>
        <x:v>n.a.</x:v>
      </x:c>
      <x:c r="AD24" s="82" t="str">
        <x:f>IF(OR($C24="",L24=0),"n.a.",Y24/L24)</x:f>
        <x:v>n.a.</x:v>
      </x:c>
      <x:c r="AE24" s="82" t="str">
        <x:f>IF(OR($C24="",K24=0),"n.a.",Q24/K24)</x:f>
        <x:v>n.a.</x:v>
      </x:c>
      <x:c r="AF24" s="30"/>
      <x:c r="AG24" s="30"/>
      <x:c r="AH24" s="30"/>
      <x:c r="AI24" s="84" t="str">
        <x:f>IF(OR($C24="",AF24="",AH24="",AVERAGE(AF24,AH24)=0),"n.a.",J24/AVERAGE(AF24,AH24))</x:f>
        <x:v>n.a.</x:v>
      </x:c>
      <x:c r="AJ24" s="84" t="str">
        <x:f>IF(OR($C24="",J24=0,AH24=""),"n.a.",AH24/(J24/4.33))</x:f>
        <x:v>n.a.</x:v>
      </x:c>
      <x:c r="AK24" s="29"/>
      <x:c r="AL24" s="30"/>
      <x:c r="AM24" s="30"/>
      <x:c r="AN24" s="82" t="str">
        <x:f>IF(OR($C24="",AL24="",NOT(ISNUMBER(AC24))),"",AL24*AC24-AM24)</x:f>
      </x:c>
      <x:c r="AO24" s="261"/>
      <x:c r="AP24" s="261"/>
    </x:row>
    <x:row r="25" ht="15" hidden="0" customHeight="1">
      <x:c r="A25" s="22"/>
      <x:c r="B25" s="81"/>
      <x:c r="C25" s="22"/>
      <x:c r="D25" s="261"/>
      <x:c r="E25" s="261"/>
      <x:c r="F25" s="261"/>
      <x:c r="G25" s="22"/>
      <x:c r="H25" s="22"/>
      <x:c r="I25" s="22"/>
      <x:c r="J25" s="30"/>
      <x:c r="K25" s="30"/>
      <x:c r="L25" s="30"/>
      <x:c r="M25" s="30"/>
      <x:c r="N25" s="30"/>
      <x:c r="O25" s="30"/>
      <x:c r="P25" s="82" t="str">
        <x:f>IF(OR($C25="",$J25="",$M25=""),"",J25*M25)</x:f>
      </x:c>
      <x:c r="Q25" s="82" t="str">
        <x:f>IF(P25="","",P25-N25-O25)</x:f>
      </x:c>
      <x:c r="R25" s="30"/>
      <x:c r="S25" s="82" t="str">
        <x:f>IF(OR($C25="",$J25="",$R25=""),"",J25*R25)</x:f>
      </x:c>
      <x:c r="T25" s="31"/>
      <x:c r="U25" s="82" t="str">
        <x:f>IF(OR($C25="",$Q25="",$T25=""),"",Q25*T25)</x:f>
      </x:c>
      <x:c r="V25" s="30"/>
      <x:c r="W25" s="30"/>
      <x:c r="X25" s="30"/>
      <x:c r="Y25" s="30"/>
      <x:c r="Z25" s="30"/>
      <x:c r="AA25" s="82" t="str">
        <x:f>IF($C25="","",Q25-S25-U25-V25-W25-X25-Z25)</x:f>
      </x:c>
      <x:c r="AB25" s="82" t="str">
        <x:f>IF($C25="","",AA25-Y25)</x:f>
      </x:c>
      <x:c r="AC25" s="83" t="str">
        <x:f>IF(OR($C25="",Q25=0),"n.a.",AB25/Q25)</x:f>
        <x:v>n.a.</x:v>
      </x:c>
      <x:c r="AD25" s="82" t="str">
        <x:f>IF(OR($C25="",L25=0),"n.a.",Y25/L25)</x:f>
        <x:v>n.a.</x:v>
      </x:c>
      <x:c r="AE25" s="82" t="str">
        <x:f>IF(OR($C25="",K25=0),"n.a.",Q25/K25)</x:f>
        <x:v>n.a.</x:v>
      </x:c>
      <x:c r="AF25" s="30"/>
      <x:c r="AG25" s="30"/>
      <x:c r="AH25" s="30"/>
      <x:c r="AI25" s="84" t="str">
        <x:f>IF(OR($C25="",AF25="",AH25="",AVERAGE(AF25,AH25)=0),"n.a.",J25/AVERAGE(AF25,AH25))</x:f>
        <x:v>n.a.</x:v>
      </x:c>
      <x:c r="AJ25" s="84" t="str">
        <x:f>IF(OR($C25="",J25=0,AH25=""),"n.a.",AH25/(J25/4.33))</x:f>
        <x:v>n.a.</x:v>
      </x:c>
      <x:c r="AK25" s="29"/>
      <x:c r="AL25" s="30"/>
      <x:c r="AM25" s="30"/>
      <x:c r="AN25" s="82" t="str">
        <x:f>IF(OR($C25="",AL25="",NOT(ISNUMBER(AC25))),"",AL25*AC25-AM25)</x:f>
      </x:c>
      <x:c r="AO25" s="261"/>
      <x:c r="AP25" s="261"/>
    </x:row>
    <x:row r="26" ht="15" hidden="0" customHeight="1">
      <x:c r="A26" s="22"/>
      <x:c r="B26" s="81"/>
      <x:c r="C26" s="22"/>
      <x:c r="D26" s="261"/>
      <x:c r="E26" s="261"/>
      <x:c r="F26" s="261"/>
      <x:c r="G26" s="22"/>
      <x:c r="H26" s="22"/>
      <x:c r="I26" s="22"/>
      <x:c r="J26" s="30"/>
      <x:c r="K26" s="30"/>
      <x:c r="L26" s="30"/>
      <x:c r="M26" s="30"/>
      <x:c r="N26" s="30"/>
      <x:c r="O26" s="30"/>
      <x:c r="P26" s="82" t="str">
        <x:f>IF(OR($C26="",$J26="",$M26=""),"",J26*M26)</x:f>
      </x:c>
      <x:c r="Q26" s="82" t="str">
        <x:f>IF(P26="","",P26-N26-O26)</x:f>
      </x:c>
      <x:c r="R26" s="30"/>
      <x:c r="S26" s="82" t="str">
        <x:f>IF(OR($C26="",$J26="",$R26=""),"",J26*R26)</x:f>
      </x:c>
      <x:c r="T26" s="31"/>
      <x:c r="U26" s="82" t="str">
        <x:f>IF(OR($C26="",$Q26="",$T26=""),"",Q26*T26)</x:f>
      </x:c>
      <x:c r="V26" s="30"/>
      <x:c r="W26" s="30"/>
      <x:c r="X26" s="30"/>
      <x:c r="Y26" s="30"/>
      <x:c r="Z26" s="30"/>
      <x:c r="AA26" s="82" t="str">
        <x:f>IF($C26="","",Q26-S26-U26-V26-W26-X26-Z26)</x:f>
      </x:c>
      <x:c r="AB26" s="82" t="str">
        <x:f>IF($C26="","",AA26-Y26)</x:f>
      </x:c>
      <x:c r="AC26" s="83" t="str">
        <x:f>IF(OR($C26="",Q26=0),"n.a.",AB26/Q26)</x:f>
        <x:v>n.a.</x:v>
      </x:c>
      <x:c r="AD26" s="82" t="str">
        <x:f>IF(OR($C26="",L26=0),"n.a.",Y26/L26)</x:f>
        <x:v>n.a.</x:v>
      </x:c>
      <x:c r="AE26" s="82" t="str">
        <x:f>IF(OR($C26="",K26=0),"n.a.",Q26/K26)</x:f>
        <x:v>n.a.</x:v>
      </x:c>
      <x:c r="AF26" s="30"/>
      <x:c r="AG26" s="30"/>
      <x:c r="AH26" s="30"/>
      <x:c r="AI26" s="84" t="str">
        <x:f>IF(OR($C26="",AF26="",AH26="",AVERAGE(AF26,AH26)=0),"n.a.",J26/AVERAGE(AF26,AH26))</x:f>
        <x:v>n.a.</x:v>
      </x:c>
      <x:c r="AJ26" s="84" t="str">
        <x:f>IF(OR($C26="",J26=0,AH26=""),"n.a.",AH26/(J26/4.33))</x:f>
        <x:v>n.a.</x:v>
      </x:c>
      <x:c r="AK26" s="29"/>
      <x:c r="AL26" s="30"/>
      <x:c r="AM26" s="30"/>
      <x:c r="AN26" s="82" t="str">
        <x:f>IF(OR($C26="",AL26="",NOT(ISNUMBER(AC26))),"",AL26*AC26-AM26)</x:f>
      </x:c>
      <x:c r="AO26" s="261"/>
      <x:c r="AP26" s="261"/>
    </x:row>
    <x:row r="27" ht="15" hidden="0" customHeight="1">
      <x:c r="A27" s="22"/>
      <x:c r="B27" s="81"/>
      <x:c r="C27" s="22"/>
      <x:c r="D27" s="261"/>
      <x:c r="E27" s="261"/>
      <x:c r="F27" s="261"/>
      <x:c r="G27" s="22"/>
      <x:c r="H27" s="22"/>
      <x:c r="I27" s="22"/>
      <x:c r="J27" s="30"/>
      <x:c r="K27" s="30"/>
      <x:c r="L27" s="30"/>
      <x:c r="M27" s="30"/>
      <x:c r="N27" s="30"/>
      <x:c r="O27" s="30"/>
      <x:c r="P27" s="82" t="str">
        <x:f>IF(OR($C27="",$J27="",$M27=""),"",J27*M27)</x:f>
      </x:c>
      <x:c r="Q27" s="82" t="str">
        <x:f>IF(P27="","",P27-N27-O27)</x:f>
      </x:c>
      <x:c r="R27" s="30"/>
      <x:c r="S27" s="82" t="str">
        <x:f>IF(OR($C27="",$J27="",$R27=""),"",J27*R27)</x:f>
      </x:c>
      <x:c r="T27" s="31"/>
      <x:c r="U27" s="82" t="str">
        <x:f>IF(OR($C27="",$Q27="",$T27=""),"",Q27*T27)</x:f>
      </x:c>
      <x:c r="V27" s="30"/>
      <x:c r="W27" s="30"/>
      <x:c r="X27" s="30"/>
      <x:c r="Y27" s="30"/>
      <x:c r="Z27" s="30"/>
      <x:c r="AA27" s="82" t="str">
        <x:f>IF($C27="","",Q27-S27-U27-V27-W27-X27-Z27)</x:f>
      </x:c>
      <x:c r="AB27" s="82" t="str">
        <x:f>IF($C27="","",AA27-Y27)</x:f>
      </x:c>
      <x:c r="AC27" s="83" t="str">
        <x:f>IF(OR($C27="",Q27=0),"n.a.",AB27/Q27)</x:f>
        <x:v>n.a.</x:v>
      </x:c>
      <x:c r="AD27" s="82" t="str">
        <x:f>IF(OR($C27="",L27=0),"n.a.",Y27/L27)</x:f>
        <x:v>n.a.</x:v>
      </x:c>
      <x:c r="AE27" s="82" t="str">
        <x:f>IF(OR($C27="",K27=0),"n.a.",Q27/K27)</x:f>
        <x:v>n.a.</x:v>
      </x:c>
      <x:c r="AF27" s="30"/>
      <x:c r="AG27" s="30"/>
      <x:c r="AH27" s="30"/>
      <x:c r="AI27" s="84" t="str">
        <x:f>IF(OR($C27="",AF27="",AH27="",AVERAGE(AF27,AH27)=0),"n.a.",J27/AVERAGE(AF27,AH27))</x:f>
        <x:v>n.a.</x:v>
      </x:c>
      <x:c r="AJ27" s="84" t="str">
        <x:f>IF(OR($C27="",J27=0,AH27=""),"n.a.",AH27/(J27/4.33))</x:f>
        <x:v>n.a.</x:v>
      </x:c>
      <x:c r="AK27" s="29"/>
      <x:c r="AL27" s="30"/>
      <x:c r="AM27" s="30"/>
      <x:c r="AN27" s="82" t="str">
        <x:f>IF(OR($C27="",AL27="",NOT(ISNUMBER(AC27))),"",AL27*AC27-AM27)</x:f>
      </x:c>
      <x:c r="AO27" s="261"/>
      <x:c r="AP27" s="261"/>
    </x:row>
    <x:row r="28" ht="15" hidden="0" customHeight="1">
      <x:c r="A28" s="22"/>
      <x:c r="B28" s="81"/>
      <x:c r="C28" s="22"/>
      <x:c r="D28" s="261"/>
      <x:c r="E28" s="261"/>
      <x:c r="F28" s="261"/>
      <x:c r="G28" s="22"/>
      <x:c r="H28" s="22"/>
      <x:c r="I28" s="22"/>
      <x:c r="J28" s="30"/>
      <x:c r="K28" s="30"/>
      <x:c r="L28" s="30"/>
      <x:c r="M28" s="30"/>
      <x:c r="N28" s="30"/>
      <x:c r="O28" s="30"/>
      <x:c r="P28" s="82" t="str">
        <x:f>IF(OR($C28="",$J28="",$M28=""),"",J28*M28)</x:f>
      </x:c>
      <x:c r="Q28" s="82" t="str">
        <x:f>IF(P28="","",P28-N28-O28)</x:f>
      </x:c>
      <x:c r="R28" s="30"/>
      <x:c r="S28" s="82" t="str">
        <x:f>IF(OR($C28="",$J28="",$R28=""),"",J28*R28)</x:f>
      </x:c>
      <x:c r="T28" s="31"/>
      <x:c r="U28" s="82" t="str">
        <x:f>IF(OR($C28="",$Q28="",$T28=""),"",Q28*T28)</x:f>
      </x:c>
      <x:c r="V28" s="30"/>
      <x:c r="W28" s="30"/>
      <x:c r="X28" s="30"/>
      <x:c r="Y28" s="30"/>
      <x:c r="Z28" s="30"/>
      <x:c r="AA28" s="82" t="str">
        <x:f>IF($C28="","",Q28-S28-U28-V28-W28-X28-Z28)</x:f>
      </x:c>
      <x:c r="AB28" s="82" t="str">
        <x:f>IF($C28="","",AA28-Y28)</x:f>
      </x:c>
      <x:c r="AC28" s="83" t="str">
        <x:f>IF(OR($C28="",Q28=0),"n.a.",AB28/Q28)</x:f>
        <x:v>n.a.</x:v>
      </x:c>
      <x:c r="AD28" s="82" t="str">
        <x:f>IF(OR($C28="",L28=0),"n.a.",Y28/L28)</x:f>
        <x:v>n.a.</x:v>
      </x:c>
      <x:c r="AE28" s="82" t="str">
        <x:f>IF(OR($C28="",K28=0),"n.a.",Q28/K28)</x:f>
        <x:v>n.a.</x:v>
      </x:c>
      <x:c r="AF28" s="30"/>
      <x:c r="AG28" s="30"/>
      <x:c r="AH28" s="30"/>
      <x:c r="AI28" s="84" t="str">
        <x:f>IF(OR($C28="",AF28="",AH28="",AVERAGE(AF28,AH28)=0),"n.a.",J28/AVERAGE(AF28,AH28))</x:f>
        <x:v>n.a.</x:v>
      </x:c>
      <x:c r="AJ28" s="84" t="str">
        <x:f>IF(OR($C28="",J28=0,AH28=""),"n.a.",AH28/(J28/4.33))</x:f>
        <x:v>n.a.</x:v>
      </x:c>
      <x:c r="AK28" s="29"/>
      <x:c r="AL28" s="30"/>
      <x:c r="AM28" s="30"/>
      <x:c r="AN28" s="82" t="str">
        <x:f>IF(OR($C28="",AL28="",NOT(ISNUMBER(AC28))),"",AL28*AC28-AM28)</x:f>
      </x:c>
      <x:c r="AO28" s="261"/>
      <x:c r="AP28" s="261"/>
    </x:row>
    <x:row r="29" ht="15" hidden="0" customHeight="1">
      <x:c r="A29" s="22"/>
      <x:c r="B29" s="81"/>
      <x:c r="C29" s="22"/>
      <x:c r="D29" s="261"/>
      <x:c r="E29" s="261"/>
      <x:c r="F29" s="261"/>
      <x:c r="G29" s="22"/>
      <x:c r="H29" s="22"/>
      <x:c r="I29" s="22"/>
      <x:c r="J29" s="30"/>
      <x:c r="K29" s="30"/>
      <x:c r="L29" s="30"/>
      <x:c r="M29" s="30"/>
      <x:c r="N29" s="30"/>
      <x:c r="O29" s="30"/>
      <x:c r="P29" s="82" t="str">
        <x:f>IF(OR($C29="",$J29="",$M29=""),"",J29*M29)</x:f>
      </x:c>
      <x:c r="Q29" s="82" t="str">
        <x:f>IF(P29="","",P29-N29-O29)</x:f>
      </x:c>
      <x:c r="R29" s="30"/>
      <x:c r="S29" s="82" t="str">
        <x:f>IF(OR($C29="",$J29="",$R29=""),"",J29*R29)</x:f>
      </x:c>
      <x:c r="T29" s="31"/>
      <x:c r="U29" s="82" t="str">
        <x:f>IF(OR($C29="",$Q29="",$T29=""),"",Q29*T29)</x:f>
      </x:c>
      <x:c r="V29" s="30"/>
      <x:c r="W29" s="30"/>
      <x:c r="X29" s="30"/>
      <x:c r="Y29" s="30"/>
      <x:c r="Z29" s="30"/>
      <x:c r="AA29" s="82" t="str">
        <x:f>IF($C29="","",Q29-S29-U29-V29-W29-X29-Z29)</x:f>
      </x:c>
      <x:c r="AB29" s="82" t="str">
        <x:f>IF($C29="","",AA29-Y29)</x:f>
      </x:c>
      <x:c r="AC29" s="83" t="str">
        <x:f>IF(OR($C29="",Q29=0),"n.a.",AB29/Q29)</x:f>
        <x:v>n.a.</x:v>
      </x:c>
      <x:c r="AD29" s="82" t="str">
        <x:f>IF(OR($C29="",L29=0),"n.a.",Y29/L29)</x:f>
        <x:v>n.a.</x:v>
      </x:c>
      <x:c r="AE29" s="82" t="str">
        <x:f>IF(OR($C29="",K29=0),"n.a.",Q29/K29)</x:f>
        <x:v>n.a.</x:v>
      </x:c>
      <x:c r="AF29" s="30"/>
      <x:c r="AG29" s="30"/>
      <x:c r="AH29" s="30"/>
      <x:c r="AI29" s="84" t="str">
        <x:f>IF(OR($C29="",AF29="",AH29="",AVERAGE(AF29,AH29)=0),"n.a.",J29/AVERAGE(AF29,AH29))</x:f>
        <x:v>n.a.</x:v>
      </x:c>
      <x:c r="AJ29" s="84" t="str">
        <x:f>IF(OR($C29="",J29=0,AH29=""),"n.a.",AH29/(J29/4.33))</x:f>
        <x:v>n.a.</x:v>
      </x:c>
      <x:c r="AK29" s="29"/>
      <x:c r="AL29" s="30"/>
      <x:c r="AM29" s="30"/>
      <x:c r="AN29" s="82" t="str">
        <x:f>IF(OR($C29="",AL29="",NOT(ISNUMBER(AC29))),"",AL29*AC29-AM29)</x:f>
      </x:c>
      <x:c r="AO29" s="261"/>
      <x:c r="AP29" s="261"/>
    </x:row>
    <x:row r="30" ht="15" hidden="0" customHeight="1">
      <x:c r="A30" s="22"/>
      <x:c r="B30" s="81"/>
      <x:c r="C30" s="22"/>
      <x:c r="D30" s="261"/>
      <x:c r="E30" s="261"/>
      <x:c r="F30" s="261"/>
      <x:c r="G30" s="22"/>
      <x:c r="H30" s="22"/>
      <x:c r="I30" s="22"/>
      <x:c r="J30" s="30"/>
      <x:c r="K30" s="30"/>
      <x:c r="L30" s="30"/>
      <x:c r="M30" s="30"/>
      <x:c r="N30" s="30"/>
      <x:c r="O30" s="30"/>
      <x:c r="P30" s="82" t="str">
        <x:f>IF(OR($C30="",$J30="",$M30=""),"",J30*M30)</x:f>
      </x:c>
      <x:c r="Q30" s="82" t="str">
        <x:f>IF(P30="","",P30-N30-O30)</x:f>
      </x:c>
      <x:c r="R30" s="30"/>
      <x:c r="S30" s="82" t="str">
        <x:f>IF(OR($C30="",$J30="",$R30=""),"",J30*R30)</x:f>
      </x:c>
      <x:c r="T30" s="31"/>
      <x:c r="U30" s="82" t="str">
        <x:f>IF(OR($C30="",$Q30="",$T30=""),"",Q30*T30)</x:f>
      </x:c>
      <x:c r="V30" s="30"/>
      <x:c r="W30" s="30"/>
      <x:c r="X30" s="30"/>
      <x:c r="Y30" s="30"/>
      <x:c r="Z30" s="30"/>
      <x:c r="AA30" s="82" t="str">
        <x:f>IF($C30="","",Q30-S30-U30-V30-W30-X30-Z30)</x:f>
      </x:c>
      <x:c r="AB30" s="82" t="str">
        <x:f>IF($C30="","",AA30-Y30)</x:f>
      </x:c>
      <x:c r="AC30" s="83" t="str">
        <x:f>IF(OR($C30="",Q30=0),"n.a.",AB30/Q30)</x:f>
        <x:v>n.a.</x:v>
      </x:c>
      <x:c r="AD30" s="82" t="str">
        <x:f>IF(OR($C30="",L30=0),"n.a.",Y30/L30)</x:f>
        <x:v>n.a.</x:v>
      </x:c>
      <x:c r="AE30" s="82" t="str">
        <x:f>IF(OR($C30="",K30=0),"n.a.",Q30/K30)</x:f>
        <x:v>n.a.</x:v>
      </x:c>
      <x:c r="AF30" s="30"/>
      <x:c r="AG30" s="30"/>
      <x:c r="AH30" s="30"/>
      <x:c r="AI30" s="84" t="str">
        <x:f>IF(OR($C30="",AF30="",AH30="",AVERAGE(AF30,AH30)=0),"n.a.",J30/AVERAGE(AF30,AH30))</x:f>
        <x:v>n.a.</x:v>
      </x:c>
      <x:c r="AJ30" s="84" t="str">
        <x:f>IF(OR($C30="",J30=0,AH30=""),"n.a.",AH30/(J30/4.33))</x:f>
        <x:v>n.a.</x:v>
      </x:c>
      <x:c r="AK30" s="29"/>
      <x:c r="AL30" s="30"/>
      <x:c r="AM30" s="30"/>
      <x:c r="AN30" s="82" t="str">
        <x:f>IF(OR($C30="",AL30="",NOT(ISNUMBER(AC30))),"",AL30*AC30-AM30)</x:f>
      </x:c>
      <x:c r="AO30" s="261"/>
      <x:c r="AP30" s="261"/>
    </x:row>
    <x:row r="31" ht="15" hidden="0" customHeight="1">
      <x:c r="A31" s="22"/>
      <x:c r="B31" s="81"/>
      <x:c r="C31" s="22"/>
      <x:c r="D31" s="261"/>
      <x:c r="E31" s="261"/>
      <x:c r="F31" s="261"/>
      <x:c r="G31" s="22"/>
      <x:c r="H31" s="22"/>
      <x:c r="I31" s="22"/>
      <x:c r="J31" s="30"/>
      <x:c r="K31" s="30"/>
      <x:c r="L31" s="30"/>
      <x:c r="M31" s="30"/>
      <x:c r="N31" s="30"/>
      <x:c r="O31" s="30"/>
      <x:c r="P31" s="82" t="str">
        <x:f>IF(OR($C31="",$J31="",$M31=""),"",J31*M31)</x:f>
      </x:c>
      <x:c r="Q31" s="82" t="str">
        <x:f>IF(P31="","",P31-N31-O31)</x:f>
      </x:c>
      <x:c r="R31" s="30"/>
      <x:c r="S31" s="82" t="str">
        <x:f>IF(OR($C31="",$J31="",$R31=""),"",J31*R31)</x:f>
      </x:c>
      <x:c r="T31" s="31"/>
      <x:c r="U31" s="82" t="str">
        <x:f>IF(OR($C31="",$Q31="",$T31=""),"",Q31*T31)</x:f>
      </x:c>
      <x:c r="V31" s="30"/>
      <x:c r="W31" s="30"/>
      <x:c r="X31" s="30"/>
      <x:c r="Y31" s="30"/>
      <x:c r="Z31" s="30"/>
      <x:c r="AA31" s="82" t="str">
        <x:f>IF($C31="","",Q31-S31-U31-V31-W31-X31-Z31)</x:f>
      </x:c>
      <x:c r="AB31" s="82" t="str">
        <x:f>IF($C31="","",AA31-Y31)</x:f>
      </x:c>
      <x:c r="AC31" s="83" t="str">
        <x:f>IF(OR($C31="",Q31=0),"n.a.",AB31/Q31)</x:f>
        <x:v>n.a.</x:v>
      </x:c>
      <x:c r="AD31" s="82" t="str">
        <x:f>IF(OR($C31="",L31=0),"n.a.",Y31/L31)</x:f>
        <x:v>n.a.</x:v>
      </x:c>
      <x:c r="AE31" s="82" t="str">
        <x:f>IF(OR($C31="",K31=0),"n.a.",Q31/K31)</x:f>
        <x:v>n.a.</x:v>
      </x:c>
      <x:c r="AF31" s="30"/>
      <x:c r="AG31" s="30"/>
      <x:c r="AH31" s="30"/>
      <x:c r="AI31" s="84" t="str">
        <x:f>IF(OR($C31="",AF31="",AH31="",AVERAGE(AF31,AH31)=0),"n.a.",J31/AVERAGE(AF31,AH31))</x:f>
        <x:v>n.a.</x:v>
      </x:c>
      <x:c r="AJ31" s="84" t="str">
        <x:f>IF(OR($C31="",J31=0,AH31=""),"n.a.",AH31/(J31/4.33))</x:f>
        <x:v>n.a.</x:v>
      </x:c>
      <x:c r="AK31" s="29"/>
      <x:c r="AL31" s="30"/>
      <x:c r="AM31" s="30"/>
      <x:c r="AN31" s="82" t="str">
        <x:f>IF(OR($C31="",AL31="",NOT(ISNUMBER(AC31))),"",AL31*AC31-AM31)</x:f>
      </x:c>
      <x:c r="AO31" s="261"/>
      <x:c r="AP31" s="261"/>
    </x:row>
    <x:row r="32" ht="15" hidden="0" customHeight="1">
      <x:c r="A32" s="22"/>
      <x:c r="B32" s="81"/>
      <x:c r="C32" s="22"/>
      <x:c r="D32" s="261"/>
      <x:c r="E32" s="261"/>
      <x:c r="F32" s="261"/>
      <x:c r="G32" s="22"/>
      <x:c r="H32" s="22"/>
      <x:c r="I32" s="22"/>
      <x:c r="J32" s="30"/>
      <x:c r="K32" s="30"/>
      <x:c r="L32" s="30"/>
      <x:c r="M32" s="30"/>
      <x:c r="N32" s="30"/>
      <x:c r="O32" s="30"/>
      <x:c r="P32" s="82" t="str">
        <x:f>IF(OR($C32="",$J32="",$M32=""),"",J32*M32)</x:f>
      </x:c>
      <x:c r="Q32" s="82" t="str">
        <x:f>IF(P32="","",P32-N32-O32)</x:f>
      </x:c>
      <x:c r="R32" s="30"/>
      <x:c r="S32" s="82" t="str">
        <x:f>IF(OR($C32="",$J32="",$R32=""),"",J32*R32)</x:f>
      </x:c>
      <x:c r="T32" s="31"/>
      <x:c r="U32" s="82" t="str">
        <x:f>IF(OR($C32="",$Q32="",$T32=""),"",Q32*T32)</x:f>
      </x:c>
      <x:c r="V32" s="30"/>
      <x:c r="W32" s="30"/>
      <x:c r="X32" s="30"/>
      <x:c r="Y32" s="30"/>
      <x:c r="Z32" s="30"/>
      <x:c r="AA32" s="82" t="str">
        <x:f>IF($C32="","",Q32-S32-U32-V32-W32-X32-Z32)</x:f>
      </x:c>
      <x:c r="AB32" s="82" t="str">
        <x:f>IF($C32="","",AA32-Y32)</x:f>
      </x:c>
      <x:c r="AC32" s="83" t="str">
        <x:f>IF(OR($C32="",Q32=0),"n.a.",AB32/Q32)</x:f>
        <x:v>n.a.</x:v>
      </x:c>
      <x:c r="AD32" s="82" t="str">
        <x:f>IF(OR($C32="",L32=0),"n.a.",Y32/L32)</x:f>
        <x:v>n.a.</x:v>
      </x:c>
      <x:c r="AE32" s="82" t="str">
        <x:f>IF(OR($C32="",K32=0),"n.a.",Q32/K32)</x:f>
        <x:v>n.a.</x:v>
      </x:c>
      <x:c r="AF32" s="30"/>
      <x:c r="AG32" s="30"/>
      <x:c r="AH32" s="30"/>
      <x:c r="AI32" s="84" t="str">
        <x:f>IF(OR($C32="",AF32="",AH32="",AVERAGE(AF32,AH32)=0),"n.a.",J32/AVERAGE(AF32,AH32))</x:f>
        <x:v>n.a.</x:v>
      </x:c>
      <x:c r="AJ32" s="84" t="str">
        <x:f>IF(OR($C32="",J32=0,AH32=""),"n.a.",AH32/(J32/4.33))</x:f>
        <x:v>n.a.</x:v>
      </x:c>
      <x:c r="AK32" s="29"/>
      <x:c r="AL32" s="30"/>
      <x:c r="AM32" s="30"/>
      <x:c r="AN32" s="82" t="str">
        <x:f>IF(OR($C32="",AL32="",NOT(ISNUMBER(AC32))),"",AL32*AC32-AM32)</x:f>
      </x:c>
      <x:c r="AO32" s="261"/>
      <x:c r="AP32" s="261"/>
    </x:row>
    <x:row r="33" ht="15" hidden="0" customHeight="1">
      <x:c r="A33" s="22"/>
      <x:c r="B33" s="81"/>
      <x:c r="C33" s="22"/>
      <x:c r="D33" s="261"/>
      <x:c r="E33" s="261"/>
      <x:c r="F33" s="261"/>
      <x:c r="G33" s="22"/>
      <x:c r="H33" s="22"/>
      <x:c r="I33" s="22"/>
      <x:c r="J33" s="30"/>
      <x:c r="K33" s="30"/>
      <x:c r="L33" s="30"/>
      <x:c r="M33" s="30"/>
      <x:c r="N33" s="30"/>
      <x:c r="O33" s="30"/>
      <x:c r="P33" s="82" t="str">
        <x:f>IF(OR($C33="",$J33="",$M33=""),"",J33*M33)</x:f>
      </x:c>
      <x:c r="Q33" s="82" t="str">
        <x:f>IF(P33="","",P33-N33-O33)</x:f>
      </x:c>
      <x:c r="R33" s="30"/>
      <x:c r="S33" s="82" t="str">
        <x:f>IF(OR($C33="",$J33="",$R33=""),"",J33*R33)</x:f>
      </x:c>
      <x:c r="T33" s="31"/>
      <x:c r="U33" s="82" t="str">
        <x:f>IF(OR($C33="",$Q33="",$T33=""),"",Q33*T33)</x:f>
      </x:c>
      <x:c r="V33" s="30"/>
      <x:c r="W33" s="30"/>
      <x:c r="X33" s="30"/>
      <x:c r="Y33" s="30"/>
      <x:c r="Z33" s="30"/>
      <x:c r="AA33" s="82" t="str">
        <x:f>IF($C33="","",Q33-S33-U33-V33-W33-X33-Z33)</x:f>
      </x:c>
      <x:c r="AB33" s="82" t="str">
        <x:f>IF($C33="","",AA33-Y33)</x:f>
      </x:c>
      <x:c r="AC33" s="83" t="str">
        <x:f>IF(OR($C33="",Q33=0),"n.a.",AB33/Q33)</x:f>
        <x:v>n.a.</x:v>
      </x:c>
      <x:c r="AD33" s="82" t="str">
        <x:f>IF(OR($C33="",L33=0),"n.a.",Y33/L33)</x:f>
        <x:v>n.a.</x:v>
      </x:c>
      <x:c r="AE33" s="82" t="str">
        <x:f>IF(OR($C33="",K33=0),"n.a.",Q33/K33)</x:f>
        <x:v>n.a.</x:v>
      </x:c>
      <x:c r="AF33" s="30"/>
      <x:c r="AG33" s="30"/>
      <x:c r="AH33" s="30"/>
      <x:c r="AI33" s="84" t="str">
        <x:f>IF(OR($C33="",AF33="",AH33="",AVERAGE(AF33,AH33)=0),"n.a.",J33/AVERAGE(AF33,AH33))</x:f>
        <x:v>n.a.</x:v>
      </x:c>
      <x:c r="AJ33" s="84" t="str">
        <x:f>IF(OR($C33="",J33=0,AH33=""),"n.a.",AH33/(J33/4.33))</x:f>
        <x:v>n.a.</x:v>
      </x:c>
      <x:c r="AK33" s="29"/>
      <x:c r="AL33" s="30"/>
      <x:c r="AM33" s="30"/>
      <x:c r="AN33" s="82" t="str">
        <x:f>IF(OR($C33="",AL33="",NOT(ISNUMBER(AC33))),"",AL33*AC33-AM33)</x:f>
      </x:c>
      <x:c r="AO33" s="261"/>
      <x:c r="AP33" s="261"/>
    </x:row>
    <x:row r="34" ht="15" hidden="0" customHeight="1">
      <x:c r="A34" s="22"/>
      <x:c r="B34" s="81"/>
      <x:c r="C34" s="22"/>
      <x:c r="D34" s="261"/>
      <x:c r="E34" s="261"/>
      <x:c r="F34" s="261"/>
      <x:c r="G34" s="22"/>
      <x:c r="H34" s="22"/>
      <x:c r="I34" s="22"/>
      <x:c r="J34" s="30"/>
      <x:c r="K34" s="30"/>
      <x:c r="L34" s="30"/>
      <x:c r="M34" s="30"/>
      <x:c r="N34" s="30"/>
      <x:c r="O34" s="30"/>
      <x:c r="P34" s="82" t="str">
        <x:f>IF(OR($C34="",$J34="",$M34=""),"",J34*M34)</x:f>
      </x:c>
      <x:c r="Q34" s="82" t="str">
        <x:f>IF(P34="","",P34-N34-O34)</x:f>
      </x:c>
      <x:c r="R34" s="30"/>
      <x:c r="S34" s="82" t="str">
        <x:f>IF(OR($C34="",$J34="",$R34=""),"",J34*R34)</x:f>
      </x:c>
      <x:c r="T34" s="31"/>
      <x:c r="U34" s="82" t="str">
        <x:f>IF(OR($C34="",$Q34="",$T34=""),"",Q34*T34)</x:f>
      </x:c>
      <x:c r="V34" s="30"/>
      <x:c r="W34" s="30"/>
      <x:c r="X34" s="30"/>
      <x:c r="Y34" s="30"/>
      <x:c r="Z34" s="30"/>
      <x:c r="AA34" s="82" t="str">
        <x:f>IF($C34="","",Q34-S34-U34-V34-W34-X34-Z34)</x:f>
      </x:c>
      <x:c r="AB34" s="82" t="str">
        <x:f>IF($C34="","",AA34-Y34)</x:f>
      </x:c>
      <x:c r="AC34" s="83" t="str">
        <x:f>IF(OR($C34="",Q34=0),"n.a.",AB34/Q34)</x:f>
        <x:v>n.a.</x:v>
      </x:c>
      <x:c r="AD34" s="82" t="str">
        <x:f>IF(OR($C34="",L34=0),"n.a.",Y34/L34)</x:f>
        <x:v>n.a.</x:v>
      </x:c>
      <x:c r="AE34" s="82" t="str">
        <x:f>IF(OR($C34="",K34=0),"n.a.",Q34/K34)</x:f>
        <x:v>n.a.</x:v>
      </x:c>
      <x:c r="AF34" s="30"/>
      <x:c r="AG34" s="30"/>
      <x:c r="AH34" s="30"/>
      <x:c r="AI34" s="84" t="str">
        <x:f>IF(OR($C34="",AF34="",AH34="",AVERAGE(AF34,AH34)=0),"n.a.",J34/AVERAGE(AF34,AH34))</x:f>
        <x:v>n.a.</x:v>
      </x:c>
      <x:c r="AJ34" s="84" t="str">
        <x:f>IF(OR($C34="",J34=0,AH34=""),"n.a.",AH34/(J34/4.33))</x:f>
        <x:v>n.a.</x:v>
      </x:c>
      <x:c r="AK34" s="29"/>
      <x:c r="AL34" s="30"/>
      <x:c r="AM34" s="30"/>
      <x:c r="AN34" s="82" t="str">
        <x:f>IF(OR($C34="",AL34="",NOT(ISNUMBER(AC34))),"",AL34*AC34-AM34)</x:f>
      </x:c>
      <x:c r="AO34" s="261"/>
      <x:c r="AP34" s="261"/>
    </x:row>
    <x:row r="35" ht="15" hidden="0" customHeight="1">
      <x:c r="A35" s="22"/>
      <x:c r="B35" s="81"/>
      <x:c r="C35" s="22"/>
      <x:c r="D35" s="261"/>
      <x:c r="E35" s="261"/>
      <x:c r="F35" s="261"/>
      <x:c r="G35" s="22"/>
      <x:c r="H35" s="22"/>
      <x:c r="I35" s="22"/>
      <x:c r="J35" s="30"/>
      <x:c r="K35" s="30"/>
      <x:c r="L35" s="30"/>
      <x:c r="M35" s="30"/>
      <x:c r="N35" s="30"/>
      <x:c r="O35" s="30"/>
      <x:c r="P35" s="82" t="str">
        <x:f>IF(OR($C35="",$J35="",$M35=""),"",J35*M35)</x:f>
      </x:c>
      <x:c r="Q35" s="82" t="str">
        <x:f>IF(P35="","",P35-N35-O35)</x:f>
      </x:c>
      <x:c r="R35" s="30"/>
      <x:c r="S35" s="82" t="str">
        <x:f>IF(OR($C35="",$J35="",$R35=""),"",J35*R35)</x:f>
      </x:c>
      <x:c r="T35" s="31"/>
      <x:c r="U35" s="82" t="str">
        <x:f>IF(OR($C35="",$Q35="",$T35=""),"",Q35*T35)</x:f>
      </x:c>
      <x:c r="V35" s="30"/>
      <x:c r="W35" s="30"/>
      <x:c r="X35" s="30"/>
      <x:c r="Y35" s="30"/>
      <x:c r="Z35" s="30"/>
      <x:c r="AA35" s="82" t="str">
        <x:f>IF($C35="","",Q35-S35-U35-V35-W35-X35-Z35)</x:f>
      </x:c>
      <x:c r="AB35" s="82" t="str">
        <x:f>IF($C35="","",AA35-Y35)</x:f>
      </x:c>
      <x:c r="AC35" s="83" t="str">
        <x:f>IF(OR($C35="",Q35=0),"n.a.",AB35/Q35)</x:f>
        <x:v>n.a.</x:v>
      </x:c>
      <x:c r="AD35" s="82" t="str">
        <x:f>IF(OR($C35="",L35=0),"n.a.",Y35/L35)</x:f>
        <x:v>n.a.</x:v>
      </x:c>
      <x:c r="AE35" s="82" t="str">
        <x:f>IF(OR($C35="",K35=0),"n.a.",Q35/K35)</x:f>
        <x:v>n.a.</x:v>
      </x:c>
      <x:c r="AF35" s="30"/>
      <x:c r="AG35" s="30"/>
      <x:c r="AH35" s="30"/>
      <x:c r="AI35" s="84" t="str">
        <x:f>IF(OR($C35="",AF35="",AH35="",AVERAGE(AF35,AH35)=0),"n.a.",J35/AVERAGE(AF35,AH35))</x:f>
        <x:v>n.a.</x:v>
      </x:c>
      <x:c r="AJ35" s="84" t="str">
        <x:f>IF(OR($C35="",J35=0,AH35=""),"n.a.",AH35/(J35/4.33))</x:f>
        <x:v>n.a.</x:v>
      </x:c>
      <x:c r="AK35" s="29"/>
      <x:c r="AL35" s="30"/>
      <x:c r="AM35" s="30"/>
      <x:c r="AN35" s="82" t="str">
        <x:f>IF(OR($C35="",AL35="",NOT(ISNUMBER(AC35))),"",AL35*AC35-AM35)</x:f>
      </x:c>
      <x:c r="AO35" s="261"/>
      <x:c r="AP35" s="261"/>
    </x:row>
    <x:row r="36" ht="15" hidden="0" customHeight="1">
      <x:c r="A36" s="22"/>
      <x:c r="B36" s="81"/>
      <x:c r="C36" s="22"/>
      <x:c r="D36" s="261"/>
      <x:c r="E36" s="261"/>
      <x:c r="F36" s="261"/>
      <x:c r="G36" s="22"/>
      <x:c r="H36" s="22"/>
      <x:c r="I36" s="22"/>
      <x:c r="J36" s="30"/>
      <x:c r="K36" s="30"/>
      <x:c r="L36" s="30"/>
      <x:c r="M36" s="30"/>
      <x:c r="N36" s="30"/>
      <x:c r="O36" s="30"/>
      <x:c r="P36" s="82" t="str">
        <x:f>IF(OR($C36="",$J36="",$M36=""),"",J36*M36)</x:f>
      </x:c>
      <x:c r="Q36" s="82" t="str">
        <x:f>IF(P36="","",P36-N36-O36)</x:f>
      </x:c>
      <x:c r="R36" s="30"/>
      <x:c r="S36" s="82" t="str">
        <x:f>IF(OR($C36="",$J36="",$R36=""),"",J36*R36)</x:f>
      </x:c>
      <x:c r="T36" s="31"/>
      <x:c r="U36" s="82" t="str">
        <x:f>IF(OR($C36="",$Q36="",$T36=""),"",Q36*T36)</x:f>
      </x:c>
      <x:c r="V36" s="30"/>
      <x:c r="W36" s="30"/>
      <x:c r="X36" s="30"/>
      <x:c r="Y36" s="30"/>
      <x:c r="Z36" s="30"/>
      <x:c r="AA36" s="82" t="str">
        <x:f>IF($C36="","",Q36-S36-U36-V36-W36-X36-Z36)</x:f>
      </x:c>
      <x:c r="AB36" s="82" t="str">
        <x:f>IF($C36="","",AA36-Y36)</x:f>
      </x:c>
      <x:c r="AC36" s="83" t="str">
        <x:f>IF(OR($C36="",Q36=0),"n.a.",AB36/Q36)</x:f>
        <x:v>n.a.</x:v>
      </x:c>
      <x:c r="AD36" s="82" t="str">
        <x:f>IF(OR($C36="",L36=0),"n.a.",Y36/L36)</x:f>
        <x:v>n.a.</x:v>
      </x:c>
      <x:c r="AE36" s="82" t="str">
        <x:f>IF(OR($C36="",K36=0),"n.a.",Q36/K36)</x:f>
        <x:v>n.a.</x:v>
      </x:c>
      <x:c r="AF36" s="30"/>
      <x:c r="AG36" s="30"/>
      <x:c r="AH36" s="30"/>
      <x:c r="AI36" s="84" t="str">
        <x:f>IF(OR($C36="",AF36="",AH36="",AVERAGE(AF36,AH36)=0),"n.a.",J36/AVERAGE(AF36,AH36))</x:f>
        <x:v>n.a.</x:v>
      </x:c>
      <x:c r="AJ36" s="84" t="str">
        <x:f>IF(OR($C36="",J36=0,AH36=""),"n.a.",AH36/(J36/4.33))</x:f>
        <x:v>n.a.</x:v>
      </x:c>
      <x:c r="AK36" s="29"/>
      <x:c r="AL36" s="30"/>
      <x:c r="AM36" s="30"/>
      <x:c r="AN36" s="82" t="str">
        <x:f>IF(OR($C36="",AL36="",NOT(ISNUMBER(AC36))),"",AL36*AC36-AM36)</x:f>
      </x:c>
      <x:c r="AO36" s="261"/>
      <x:c r="AP36" s="261"/>
    </x:row>
    <x:row r="37" ht="15" hidden="0" customHeight="1">
      <x:c r="A37" s="22"/>
      <x:c r="B37" s="81"/>
      <x:c r="C37" s="22"/>
      <x:c r="D37" s="261"/>
      <x:c r="E37" s="261"/>
      <x:c r="F37" s="261"/>
      <x:c r="G37" s="22"/>
      <x:c r="H37" s="22"/>
      <x:c r="I37" s="22"/>
      <x:c r="J37" s="30"/>
      <x:c r="K37" s="30"/>
      <x:c r="L37" s="30"/>
      <x:c r="M37" s="30"/>
      <x:c r="N37" s="30"/>
      <x:c r="O37" s="30"/>
      <x:c r="P37" s="82" t="str">
        <x:f>IF(OR($C37="",$J37="",$M37=""),"",J37*M37)</x:f>
      </x:c>
      <x:c r="Q37" s="82" t="str">
        <x:f>IF(P37="","",P37-N37-O37)</x:f>
      </x:c>
      <x:c r="R37" s="30"/>
      <x:c r="S37" s="82" t="str">
        <x:f>IF(OR($C37="",$J37="",$R37=""),"",J37*R37)</x:f>
      </x:c>
      <x:c r="T37" s="31"/>
      <x:c r="U37" s="82" t="str">
        <x:f>IF(OR($C37="",$Q37="",$T37=""),"",Q37*T37)</x:f>
      </x:c>
      <x:c r="V37" s="30"/>
      <x:c r="W37" s="30"/>
      <x:c r="X37" s="30"/>
      <x:c r="Y37" s="30"/>
      <x:c r="Z37" s="30"/>
      <x:c r="AA37" s="82" t="str">
        <x:f>IF($C37="","",Q37-S37-U37-V37-W37-X37-Z37)</x:f>
      </x:c>
      <x:c r="AB37" s="82" t="str">
        <x:f>IF($C37="","",AA37-Y37)</x:f>
      </x:c>
      <x:c r="AC37" s="83" t="str">
        <x:f>IF(OR($C37="",Q37=0),"n.a.",AB37/Q37)</x:f>
        <x:v>n.a.</x:v>
      </x:c>
      <x:c r="AD37" s="82" t="str">
        <x:f>IF(OR($C37="",L37=0),"n.a.",Y37/L37)</x:f>
        <x:v>n.a.</x:v>
      </x:c>
      <x:c r="AE37" s="82" t="str">
        <x:f>IF(OR($C37="",K37=0),"n.a.",Q37/K37)</x:f>
        <x:v>n.a.</x:v>
      </x:c>
      <x:c r="AF37" s="30"/>
      <x:c r="AG37" s="30"/>
      <x:c r="AH37" s="30"/>
      <x:c r="AI37" s="84" t="str">
        <x:f>IF(OR($C37="",AF37="",AH37="",AVERAGE(AF37,AH37)=0),"n.a.",J37/AVERAGE(AF37,AH37))</x:f>
        <x:v>n.a.</x:v>
      </x:c>
      <x:c r="AJ37" s="84" t="str">
        <x:f>IF(OR($C37="",J37=0,AH37=""),"n.a.",AH37/(J37/4.33))</x:f>
        <x:v>n.a.</x:v>
      </x:c>
      <x:c r="AK37" s="29"/>
      <x:c r="AL37" s="30"/>
      <x:c r="AM37" s="30"/>
      <x:c r="AN37" s="82" t="str">
        <x:f>IF(OR($C37="",AL37="",NOT(ISNUMBER(AC37))),"",AL37*AC37-AM37)</x:f>
      </x:c>
      <x:c r="AO37" s="261"/>
      <x:c r="AP37" s="261"/>
    </x:row>
    <x:row r="38" ht="15" hidden="0" customHeight="1">
      <x:c r="A38" s="22"/>
      <x:c r="B38" s="81"/>
      <x:c r="C38" s="22"/>
      <x:c r="D38" s="261"/>
      <x:c r="E38" s="261"/>
      <x:c r="F38" s="261"/>
      <x:c r="G38" s="22"/>
      <x:c r="H38" s="22"/>
      <x:c r="I38" s="22"/>
      <x:c r="J38" s="30"/>
      <x:c r="K38" s="30"/>
      <x:c r="L38" s="30"/>
      <x:c r="M38" s="30"/>
      <x:c r="N38" s="30"/>
      <x:c r="O38" s="30"/>
      <x:c r="P38" s="82" t="str">
        <x:f>IF(OR($C38="",$J38="",$M38=""),"",J38*M38)</x:f>
      </x:c>
      <x:c r="Q38" s="82" t="str">
        <x:f>IF(P38="","",P38-N38-O38)</x:f>
      </x:c>
      <x:c r="R38" s="30"/>
      <x:c r="S38" s="82" t="str">
        <x:f>IF(OR($C38="",$J38="",$R38=""),"",J38*R38)</x:f>
      </x:c>
      <x:c r="T38" s="31"/>
      <x:c r="U38" s="82" t="str">
        <x:f>IF(OR($C38="",$Q38="",$T38=""),"",Q38*T38)</x:f>
      </x:c>
      <x:c r="V38" s="30"/>
      <x:c r="W38" s="30"/>
      <x:c r="X38" s="30"/>
      <x:c r="Y38" s="30"/>
      <x:c r="Z38" s="30"/>
      <x:c r="AA38" s="82" t="str">
        <x:f>IF($C38="","",Q38-S38-U38-V38-W38-X38-Z38)</x:f>
      </x:c>
      <x:c r="AB38" s="82" t="str">
        <x:f>IF($C38="","",AA38-Y38)</x:f>
      </x:c>
      <x:c r="AC38" s="83" t="str">
        <x:f>IF(OR($C38="",Q38=0),"n.a.",AB38/Q38)</x:f>
        <x:v>n.a.</x:v>
      </x:c>
      <x:c r="AD38" s="82" t="str">
        <x:f>IF(OR($C38="",L38=0),"n.a.",Y38/L38)</x:f>
        <x:v>n.a.</x:v>
      </x:c>
      <x:c r="AE38" s="82" t="str">
        <x:f>IF(OR($C38="",K38=0),"n.a.",Q38/K38)</x:f>
        <x:v>n.a.</x:v>
      </x:c>
      <x:c r="AF38" s="30"/>
      <x:c r="AG38" s="30"/>
      <x:c r="AH38" s="30"/>
      <x:c r="AI38" s="84" t="str">
        <x:f>IF(OR($C38="",AF38="",AH38="",AVERAGE(AF38,AH38)=0),"n.a.",J38/AVERAGE(AF38,AH38))</x:f>
        <x:v>n.a.</x:v>
      </x:c>
      <x:c r="AJ38" s="84" t="str">
        <x:f>IF(OR($C38="",J38=0,AH38=""),"n.a.",AH38/(J38/4.33))</x:f>
        <x:v>n.a.</x:v>
      </x:c>
      <x:c r="AK38" s="29"/>
      <x:c r="AL38" s="30"/>
      <x:c r="AM38" s="30"/>
      <x:c r="AN38" s="82" t="str">
        <x:f>IF(OR($C38="",AL38="",NOT(ISNUMBER(AC38))),"",AL38*AC38-AM38)</x:f>
      </x:c>
      <x:c r="AO38" s="261"/>
      <x:c r="AP38" s="261"/>
    </x:row>
    <x:row r="39" ht="15" hidden="0" customHeight="1">
      <x:c r="A39" s="22"/>
      <x:c r="B39" s="81"/>
      <x:c r="C39" s="22"/>
      <x:c r="D39" s="261"/>
      <x:c r="E39" s="261"/>
      <x:c r="F39" s="261"/>
      <x:c r="G39" s="22"/>
      <x:c r="H39" s="22"/>
      <x:c r="I39" s="22"/>
      <x:c r="J39" s="30"/>
      <x:c r="K39" s="30"/>
      <x:c r="L39" s="30"/>
      <x:c r="M39" s="30"/>
      <x:c r="N39" s="30"/>
      <x:c r="O39" s="30"/>
      <x:c r="P39" s="82" t="str">
        <x:f>IF(OR($C39="",$J39="",$M39=""),"",J39*M39)</x:f>
      </x:c>
      <x:c r="Q39" s="82" t="str">
        <x:f>IF(P39="","",P39-N39-O39)</x:f>
      </x:c>
      <x:c r="R39" s="30"/>
      <x:c r="S39" s="82" t="str">
        <x:f>IF(OR($C39="",$J39="",$R39=""),"",J39*R39)</x:f>
      </x:c>
      <x:c r="T39" s="31"/>
      <x:c r="U39" s="82" t="str">
        <x:f>IF(OR($C39="",$Q39="",$T39=""),"",Q39*T39)</x:f>
      </x:c>
      <x:c r="V39" s="30"/>
      <x:c r="W39" s="30"/>
      <x:c r="X39" s="30"/>
      <x:c r="Y39" s="30"/>
      <x:c r="Z39" s="30"/>
      <x:c r="AA39" s="82" t="str">
        <x:f>IF($C39="","",Q39-S39-U39-V39-W39-X39-Z39)</x:f>
      </x:c>
      <x:c r="AB39" s="82" t="str">
        <x:f>IF($C39="","",AA39-Y39)</x:f>
      </x:c>
      <x:c r="AC39" s="83" t="str">
        <x:f>IF(OR($C39="",Q39=0),"n.a.",AB39/Q39)</x:f>
        <x:v>n.a.</x:v>
      </x:c>
      <x:c r="AD39" s="82" t="str">
        <x:f>IF(OR($C39="",L39=0),"n.a.",Y39/L39)</x:f>
        <x:v>n.a.</x:v>
      </x:c>
      <x:c r="AE39" s="82" t="str">
        <x:f>IF(OR($C39="",K39=0),"n.a.",Q39/K39)</x:f>
        <x:v>n.a.</x:v>
      </x:c>
      <x:c r="AF39" s="30"/>
      <x:c r="AG39" s="30"/>
      <x:c r="AH39" s="30"/>
      <x:c r="AI39" s="84" t="str">
        <x:f>IF(OR($C39="",AF39="",AH39="",AVERAGE(AF39,AH39)=0),"n.a.",J39/AVERAGE(AF39,AH39))</x:f>
        <x:v>n.a.</x:v>
      </x:c>
      <x:c r="AJ39" s="84" t="str">
        <x:f>IF(OR($C39="",J39=0,AH39=""),"n.a.",AH39/(J39/4.33))</x:f>
        <x:v>n.a.</x:v>
      </x:c>
      <x:c r="AK39" s="29"/>
      <x:c r="AL39" s="30"/>
      <x:c r="AM39" s="30"/>
      <x:c r="AN39" s="82" t="str">
        <x:f>IF(OR($C39="",AL39="",NOT(ISNUMBER(AC39))),"",AL39*AC39-AM39)</x:f>
      </x:c>
      <x:c r="AO39" s="261"/>
      <x:c r="AP39" s="261"/>
    </x:row>
    <x:row r="40" ht="15" hidden="0" customHeight="1">
      <x:c r="A40" s="22"/>
      <x:c r="B40" s="81"/>
      <x:c r="C40" s="22"/>
      <x:c r="D40" s="261"/>
      <x:c r="E40" s="261"/>
      <x:c r="F40" s="261"/>
      <x:c r="G40" s="22"/>
      <x:c r="H40" s="22"/>
      <x:c r="I40" s="22"/>
      <x:c r="J40" s="30"/>
      <x:c r="K40" s="30"/>
      <x:c r="L40" s="30"/>
      <x:c r="M40" s="30"/>
      <x:c r="N40" s="30"/>
      <x:c r="O40" s="30"/>
      <x:c r="P40" s="82" t="str">
        <x:f>IF(OR($C40="",$J40="",$M40=""),"",J40*M40)</x:f>
      </x:c>
      <x:c r="Q40" s="82" t="str">
        <x:f>IF(P40="","",P40-N40-O40)</x:f>
      </x:c>
      <x:c r="R40" s="30"/>
      <x:c r="S40" s="82" t="str">
        <x:f>IF(OR($C40="",$J40="",$R40=""),"",J40*R40)</x:f>
      </x:c>
      <x:c r="T40" s="31"/>
      <x:c r="U40" s="82" t="str">
        <x:f>IF(OR($C40="",$Q40="",$T40=""),"",Q40*T40)</x:f>
      </x:c>
      <x:c r="V40" s="30"/>
      <x:c r="W40" s="30"/>
      <x:c r="X40" s="30"/>
      <x:c r="Y40" s="30"/>
      <x:c r="Z40" s="30"/>
      <x:c r="AA40" s="82" t="str">
        <x:f>IF($C40="","",Q40-S40-U40-V40-W40-X40-Z40)</x:f>
      </x:c>
      <x:c r="AB40" s="82" t="str">
        <x:f>IF($C40="","",AA40-Y40)</x:f>
      </x:c>
      <x:c r="AC40" s="83" t="str">
        <x:f>IF(OR($C40="",Q40=0),"n.a.",AB40/Q40)</x:f>
        <x:v>n.a.</x:v>
      </x:c>
      <x:c r="AD40" s="82" t="str">
        <x:f>IF(OR($C40="",L40=0),"n.a.",Y40/L40)</x:f>
        <x:v>n.a.</x:v>
      </x:c>
      <x:c r="AE40" s="82" t="str">
        <x:f>IF(OR($C40="",K40=0),"n.a.",Q40/K40)</x:f>
        <x:v>n.a.</x:v>
      </x:c>
      <x:c r="AF40" s="30"/>
      <x:c r="AG40" s="30"/>
      <x:c r="AH40" s="30"/>
      <x:c r="AI40" s="84" t="str">
        <x:f>IF(OR($C40="",AF40="",AH40="",AVERAGE(AF40,AH40)=0),"n.a.",J40/AVERAGE(AF40,AH40))</x:f>
        <x:v>n.a.</x:v>
      </x:c>
      <x:c r="AJ40" s="84" t="str">
        <x:f>IF(OR($C40="",J40=0,AH40=""),"n.a.",AH40/(J40/4.33))</x:f>
        <x:v>n.a.</x:v>
      </x:c>
      <x:c r="AK40" s="29"/>
      <x:c r="AL40" s="30"/>
      <x:c r="AM40" s="30"/>
      <x:c r="AN40" s="82" t="str">
        <x:f>IF(OR($C40="",AL40="",NOT(ISNUMBER(AC40))),"",AL40*AC40-AM40)</x:f>
      </x:c>
      <x:c r="AO40" s="261"/>
      <x:c r="AP40" s="261"/>
    </x:row>
    <x:row r="41" ht="15" hidden="0" customHeight="1">
      <x:c r="A41" s="22"/>
      <x:c r="B41" s="81"/>
      <x:c r="C41" s="22"/>
      <x:c r="D41" s="261"/>
      <x:c r="E41" s="261"/>
      <x:c r="F41" s="261"/>
      <x:c r="G41" s="22"/>
      <x:c r="H41" s="22"/>
      <x:c r="I41" s="22"/>
      <x:c r="J41" s="30"/>
      <x:c r="K41" s="30"/>
      <x:c r="L41" s="30"/>
      <x:c r="M41" s="30"/>
      <x:c r="N41" s="30"/>
      <x:c r="O41" s="30"/>
      <x:c r="P41" s="82" t="str">
        <x:f>IF(OR($C41="",$J41="",$M41=""),"",J41*M41)</x:f>
      </x:c>
      <x:c r="Q41" s="82" t="str">
        <x:f>IF(P41="","",P41-N41-O41)</x:f>
      </x:c>
      <x:c r="R41" s="30"/>
      <x:c r="S41" s="82" t="str">
        <x:f>IF(OR($C41="",$J41="",$R41=""),"",J41*R41)</x:f>
      </x:c>
      <x:c r="T41" s="31"/>
      <x:c r="U41" s="82" t="str">
        <x:f>IF(OR($C41="",$Q41="",$T41=""),"",Q41*T41)</x:f>
      </x:c>
      <x:c r="V41" s="30"/>
      <x:c r="W41" s="30"/>
      <x:c r="X41" s="30"/>
      <x:c r="Y41" s="30"/>
      <x:c r="Z41" s="30"/>
      <x:c r="AA41" s="82" t="str">
        <x:f>IF($C41="","",Q41-S41-U41-V41-W41-X41-Z41)</x:f>
      </x:c>
      <x:c r="AB41" s="82" t="str">
        <x:f>IF($C41="","",AA41-Y41)</x:f>
      </x:c>
      <x:c r="AC41" s="83" t="str">
        <x:f>IF(OR($C41="",Q41=0),"n.a.",AB41/Q41)</x:f>
        <x:v>n.a.</x:v>
      </x:c>
      <x:c r="AD41" s="82" t="str">
        <x:f>IF(OR($C41="",L41=0),"n.a.",Y41/L41)</x:f>
        <x:v>n.a.</x:v>
      </x:c>
      <x:c r="AE41" s="82" t="str">
        <x:f>IF(OR($C41="",K41=0),"n.a.",Q41/K41)</x:f>
        <x:v>n.a.</x:v>
      </x:c>
      <x:c r="AF41" s="30"/>
      <x:c r="AG41" s="30"/>
      <x:c r="AH41" s="30"/>
      <x:c r="AI41" s="84" t="str">
        <x:f>IF(OR($C41="",AF41="",AH41="",AVERAGE(AF41,AH41)=0),"n.a.",J41/AVERAGE(AF41,AH41))</x:f>
        <x:v>n.a.</x:v>
      </x:c>
      <x:c r="AJ41" s="84" t="str">
        <x:f>IF(OR($C41="",J41=0,AH41=""),"n.a.",AH41/(J41/4.33))</x:f>
        <x:v>n.a.</x:v>
      </x:c>
      <x:c r="AK41" s="29"/>
      <x:c r="AL41" s="30"/>
      <x:c r="AM41" s="30"/>
      <x:c r="AN41" s="82" t="str">
        <x:f>IF(OR($C41="",AL41="",NOT(ISNUMBER(AC41))),"",AL41*AC41-AM41)</x:f>
      </x:c>
      <x:c r="AO41" s="261"/>
      <x:c r="AP41" s="261"/>
    </x:row>
    <x:row r="42" ht="15" hidden="0" customHeight="1">
      <x:c r="A42" s="22"/>
      <x:c r="B42" s="81"/>
      <x:c r="C42" s="22"/>
      <x:c r="D42" s="261"/>
      <x:c r="E42" s="261"/>
      <x:c r="F42" s="261"/>
      <x:c r="G42" s="22"/>
      <x:c r="H42" s="22"/>
      <x:c r="I42" s="22"/>
      <x:c r="J42" s="30"/>
      <x:c r="K42" s="30"/>
      <x:c r="L42" s="30"/>
      <x:c r="M42" s="30"/>
      <x:c r="N42" s="30"/>
      <x:c r="O42" s="30"/>
      <x:c r="P42" s="82" t="str">
        <x:f>IF(OR($C42="",$J42="",$M42=""),"",J42*M42)</x:f>
      </x:c>
      <x:c r="Q42" s="82" t="str">
        <x:f>IF(P42="","",P42-N42-O42)</x:f>
      </x:c>
      <x:c r="R42" s="30"/>
      <x:c r="S42" s="82" t="str">
        <x:f>IF(OR($C42="",$J42="",$R42=""),"",J42*R42)</x:f>
      </x:c>
      <x:c r="T42" s="31"/>
      <x:c r="U42" s="82" t="str">
        <x:f>IF(OR($C42="",$Q42="",$T42=""),"",Q42*T42)</x:f>
      </x:c>
      <x:c r="V42" s="30"/>
      <x:c r="W42" s="30"/>
      <x:c r="X42" s="30"/>
      <x:c r="Y42" s="30"/>
      <x:c r="Z42" s="30"/>
      <x:c r="AA42" s="82" t="str">
        <x:f>IF($C42="","",Q42-S42-U42-V42-W42-X42-Z42)</x:f>
      </x:c>
      <x:c r="AB42" s="82" t="str">
        <x:f>IF($C42="","",AA42-Y42)</x:f>
      </x:c>
      <x:c r="AC42" s="83" t="str">
        <x:f>IF(OR($C42="",Q42=0),"n.a.",AB42/Q42)</x:f>
        <x:v>n.a.</x:v>
      </x:c>
      <x:c r="AD42" s="82" t="str">
        <x:f>IF(OR($C42="",L42=0),"n.a.",Y42/L42)</x:f>
        <x:v>n.a.</x:v>
      </x:c>
      <x:c r="AE42" s="82" t="str">
        <x:f>IF(OR($C42="",K42=0),"n.a.",Q42/K42)</x:f>
        <x:v>n.a.</x:v>
      </x:c>
      <x:c r="AF42" s="30"/>
      <x:c r="AG42" s="30"/>
      <x:c r="AH42" s="30"/>
      <x:c r="AI42" s="84" t="str">
        <x:f>IF(OR($C42="",AF42="",AH42="",AVERAGE(AF42,AH42)=0),"n.a.",J42/AVERAGE(AF42,AH42))</x:f>
        <x:v>n.a.</x:v>
      </x:c>
      <x:c r="AJ42" s="84" t="str">
        <x:f>IF(OR($C42="",J42=0,AH42=""),"n.a.",AH42/(J42/4.33))</x:f>
        <x:v>n.a.</x:v>
      </x:c>
      <x:c r="AK42" s="29"/>
      <x:c r="AL42" s="30"/>
      <x:c r="AM42" s="30"/>
      <x:c r="AN42" s="82" t="str">
        <x:f>IF(OR($C42="",AL42="",NOT(ISNUMBER(AC42))),"",AL42*AC42-AM42)</x:f>
      </x:c>
      <x:c r="AO42" s="261"/>
      <x:c r="AP42" s="261"/>
    </x:row>
    <x:row r="43" ht="15" hidden="0" customHeight="1">
      <x:c r="A43" s="22"/>
      <x:c r="B43" s="81"/>
      <x:c r="C43" s="22"/>
      <x:c r="D43" s="261"/>
      <x:c r="E43" s="261"/>
      <x:c r="F43" s="261"/>
      <x:c r="G43" s="22"/>
      <x:c r="H43" s="22"/>
      <x:c r="I43" s="22"/>
      <x:c r="J43" s="30"/>
      <x:c r="K43" s="30"/>
      <x:c r="L43" s="30"/>
      <x:c r="M43" s="30"/>
      <x:c r="N43" s="30"/>
      <x:c r="O43" s="30"/>
      <x:c r="P43" s="82" t="str">
        <x:f>IF(OR($C43="",$J43="",$M43=""),"",J43*M43)</x:f>
      </x:c>
      <x:c r="Q43" s="82" t="str">
        <x:f>IF(P43="","",P43-N43-O43)</x:f>
      </x:c>
      <x:c r="R43" s="30"/>
      <x:c r="S43" s="82" t="str">
        <x:f>IF(OR($C43="",$J43="",$R43=""),"",J43*R43)</x:f>
      </x:c>
      <x:c r="T43" s="31"/>
      <x:c r="U43" s="82" t="str">
        <x:f>IF(OR($C43="",$Q43="",$T43=""),"",Q43*T43)</x:f>
      </x:c>
      <x:c r="V43" s="30"/>
      <x:c r="W43" s="30"/>
      <x:c r="X43" s="30"/>
      <x:c r="Y43" s="30"/>
      <x:c r="Z43" s="30"/>
      <x:c r="AA43" s="82" t="str">
        <x:f>IF($C43="","",Q43-S43-U43-V43-W43-X43-Z43)</x:f>
      </x:c>
      <x:c r="AB43" s="82" t="str">
        <x:f>IF($C43="","",AA43-Y43)</x:f>
      </x:c>
      <x:c r="AC43" s="83" t="str">
        <x:f>IF(OR($C43="",Q43=0),"n.a.",AB43/Q43)</x:f>
        <x:v>n.a.</x:v>
      </x:c>
      <x:c r="AD43" s="82" t="str">
        <x:f>IF(OR($C43="",L43=0),"n.a.",Y43/L43)</x:f>
        <x:v>n.a.</x:v>
      </x:c>
      <x:c r="AE43" s="82" t="str">
        <x:f>IF(OR($C43="",K43=0),"n.a.",Q43/K43)</x:f>
        <x:v>n.a.</x:v>
      </x:c>
      <x:c r="AF43" s="30"/>
      <x:c r="AG43" s="30"/>
      <x:c r="AH43" s="30"/>
      <x:c r="AI43" s="84" t="str">
        <x:f>IF(OR($C43="",AF43="",AH43="",AVERAGE(AF43,AH43)=0),"n.a.",J43/AVERAGE(AF43,AH43))</x:f>
        <x:v>n.a.</x:v>
      </x:c>
      <x:c r="AJ43" s="84" t="str">
        <x:f>IF(OR($C43="",J43=0,AH43=""),"n.a.",AH43/(J43/4.33))</x:f>
        <x:v>n.a.</x:v>
      </x:c>
      <x:c r="AK43" s="29"/>
      <x:c r="AL43" s="30"/>
      <x:c r="AM43" s="30"/>
      <x:c r="AN43" s="82" t="str">
        <x:f>IF(OR($C43="",AL43="",NOT(ISNUMBER(AC43))),"",AL43*AC43-AM43)</x:f>
      </x:c>
      <x:c r="AO43" s="261"/>
      <x:c r="AP43" s="261"/>
    </x:row>
    <x:row r="44" ht="15" hidden="0" customHeight="1">
      <x:c r="A44" s="22"/>
      <x:c r="B44" s="81"/>
      <x:c r="C44" s="22"/>
      <x:c r="D44" s="261"/>
      <x:c r="E44" s="261"/>
      <x:c r="F44" s="261"/>
      <x:c r="G44" s="22"/>
      <x:c r="H44" s="22"/>
      <x:c r="I44" s="22"/>
      <x:c r="J44" s="30"/>
      <x:c r="K44" s="30"/>
      <x:c r="L44" s="30"/>
      <x:c r="M44" s="30"/>
      <x:c r="N44" s="30"/>
      <x:c r="O44" s="30"/>
      <x:c r="P44" s="82" t="str">
        <x:f>IF(OR($C44="",$J44="",$M44=""),"",J44*M44)</x:f>
      </x:c>
      <x:c r="Q44" s="82" t="str">
        <x:f>IF(P44="","",P44-N44-O44)</x:f>
      </x:c>
      <x:c r="R44" s="30"/>
      <x:c r="S44" s="82" t="str">
        <x:f>IF(OR($C44="",$J44="",$R44=""),"",J44*R44)</x:f>
      </x:c>
      <x:c r="T44" s="31"/>
      <x:c r="U44" s="82" t="str">
        <x:f>IF(OR($C44="",$Q44="",$T44=""),"",Q44*T44)</x:f>
      </x:c>
      <x:c r="V44" s="30"/>
      <x:c r="W44" s="30"/>
      <x:c r="X44" s="30"/>
      <x:c r="Y44" s="30"/>
      <x:c r="Z44" s="30"/>
      <x:c r="AA44" s="82" t="str">
        <x:f>IF($C44="","",Q44-S44-U44-V44-W44-X44-Z44)</x:f>
      </x:c>
      <x:c r="AB44" s="82" t="str">
        <x:f>IF($C44="","",AA44-Y44)</x:f>
      </x:c>
      <x:c r="AC44" s="83" t="str">
        <x:f>IF(OR($C44="",Q44=0),"n.a.",AB44/Q44)</x:f>
        <x:v>n.a.</x:v>
      </x:c>
      <x:c r="AD44" s="82" t="str">
        <x:f>IF(OR($C44="",L44=0),"n.a.",Y44/L44)</x:f>
        <x:v>n.a.</x:v>
      </x:c>
      <x:c r="AE44" s="82" t="str">
        <x:f>IF(OR($C44="",K44=0),"n.a.",Q44/K44)</x:f>
        <x:v>n.a.</x:v>
      </x:c>
      <x:c r="AF44" s="30"/>
      <x:c r="AG44" s="30"/>
      <x:c r="AH44" s="30"/>
      <x:c r="AI44" s="84" t="str">
        <x:f>IF(OR($C44="",AF44="",AH44="",AVERAGE(AF44,AH44)=0),"n.a.",J44/AVERAGE(AF44,AH44))</x:f>
        <x:v>n.a.</x:v>
      </x:c>
      <x:c r="AJ44" s="84" t="str">
        <x:f>IF(OR($C44="",J44=0,AH44=""),"n.a.",AH44/(J44/4.33))</x:f>
        <x:v>n.a.</x:v>
      </x:c>
      <x:c r="AK44" s="29"/>
      <x:c r="AL44" s="30"/>
      <x:c r="AM44" s="30"/>
      <x:c r="AN44" s="82" t="str">
        <x:f>IF(OR($C44="",AL44="",NOT(ISNUMBER(AC44))),"",AL44*AC44-AM44)</x:f>
      </x:c>
      <x:c r="AO44" s="261"/>
      <x:c r="AP44" s="261"/>
    </x:row>
    <x:row r="45" ht="15" hidden="0" customHeight="1">
      <x:c r="A45" s="22"/>
      <x:c r="B45" s="81"/>
      <x:c r="C45" s="22"/>
      <x:c r="D45" s="261"/>
      <x:c r="E45" s="261"/>
      <x:c r="F45" s="261"/>
      <x:c r="G45" s="22"/>
      <x:c r="H45" s="22"/>
      <x:c r="I45" s="22"/>
      <x:c r="J45" s="30"/>
      <x:c r="K45" s="30"/>
      <x:c r="L45" s="30"/>
      <x:c r="M45" s="30"/>
      <x:c r="N45" s="30"/>
      <x:c r="O45" s="30"/>
      <x:c r="P45" s="82" t="str">
        <x:f>IF(OR($C45="",$J45="",$M45=""),"",J45*M45)</x:f>
      </x:c>
      <x:c r="Q45" s="82" t="str">
        <x:f>IF(P45="","",P45-N45-O45)</x:f>
      </x:c>
      <x:c r="R45" s="30"/>
      <x:c r="S45" s="82" t="str">
        <x:f>IF(OR($C45="",$J45="",$R45=""),"",J45*R45)</x:f>
      </x:c>
      <x:c r="T45" s="31"/>
      <x:c r="U45" s="82" t="str">
        <x:f>IF(OR($C45="",$Q45="",$T45=""),"",Q45*T45)</x:f>
      </x:c>
      <x:c r="V45" s="30"/>
      <x:c r="W45" s="30"/>
      <x:c r="X45" s="30"/>
      <x:c r="Y45" s="30"/>
      <x:c r="Z45" s="30"/>
      <x:c r="AA45" s="82" t="str">
        <x:f>IF($C45="","",Q45-S45-U45-V45-W45-X45-Z45)</x:f>
      </x:c>
      <x:c r="AB45" s="82" t="str">
        <x:f>IF($C45="","",AA45-Y45)</x:f>
      </x:c>
      <x:c r="AC45" s="83" t="str">
        <x:f>IF(OR($C45="",Q45=0),"n.a.",AB45/Q45)</x:f>
        <x:v>n.a.</x:v>
      </x:c>
      <x:c r="AD45" s="82" t="str">
        <x:f>IF(OR($C45="",L45=0),"n.a.",Y45/L45)</x:f>
        <x:v>n.a.</x:v>
      </x:c>
      <x:c r="AE45" s="82" t="str">
        <x:f>IF(OR($C45="",K45=0),"n.a.",Q45/K45)</x:f>
        <x:v>n.a.</x:v>
      </x:c>
      <x:c r="AF45" s="30"/>
      <x:c r="AG45" s="30"/>
      <x:c r="AH45" s="30"/>
      <x:c r="AI45" s="84" t="str">
        <x:f>IF(OR($C45="",AF45="",AH45="",AVERAGE(AF45,AH45)=0),"n.a.",J45/AVERAGE(AF45,AH45))</x:f>
        <x:v>n.a.</x:v>
      </x:c>
      <x:c r="AJ45" s="84" t="str">
        <x:f>IF(OR($C45="",J45=0,AH45=""),"n.a.",AH45/(J45/4.33))</x:f>
        <x:v>n.a.</x:v>
      </x:c>
      <x:c r="AK45" s="29"/>
      <x:c r="AL45" s="30"/>
      <x:c r="AM45" s="30"/>
      <x:c r="AN45" s="82" t="str">
        <x:f>IF(OR($C45="",AL45="",NOT(ISNUMBER(AC45))),"",AL45*AC45-AM45)</x:f>
      </x:c>
      <x:c r="AO45" s="261"/>
      <x:c r="AP45" s="261"/>
    </x:row>
    <x:row r="46" ht="15" hidden="0" customHeight="1">
      <x:c r="A46" s="22"/>
      <x:c r="B46" s="81"/>
      <x:c r="C46" s="22"/>
      <x:c r="D46" s="261"/>
      <x:c r="E46" s="261"/>
      <x:c r="F46" s="261"/>
      <x:c r="G46" s="22"/>
      <x:c r="H46" s="22"/>
      <x:c r="I46" s="22"/>
      <x:c r="J46" s="30"/>
      <x:c r="K46" s="30"/>
      <x:c r="L46" s="30"/>
      <x:c r="M46" s="30"/>
      <x:c r="N46" s="30"/>
      <x:c r="O46" s="30"/>
      <x:c r="P46" s="82" t="str">
        <x:f>IF(OR($C46="",$J46="",$M46=""),"",J46*M46)</x:f>
      </x:c>
      <x:c r="Q46" s="82" t="str">
        <x:f>IF(P46="","",P46-N46-O46)</x:f>
      </x:c>
      <x:c r="R46" s="30"/>
      <x:c r="S46" s="82" t="str">
        <x:f>IF(OR($C46="",$J46="",$R46=""),"",J46*R46)</x:f>
      </x:c>
      <x:c r="T46" s="31"/>
      <x:c r="U46" s="82" t="str">
        <x:f>IF(OR($C46="",$Q46="",$T46=""),"",Q46*T46)</x:f>
      </x:c>
      <x:c r="V46" s="30"/>
      <x:c r="W46" s="30"/>
      <x:c r="X46" s="30"/>
      <x:c r="Y46" s="30"/>
      <x:c r="Z46" s="30"/>
      <x:c r="AA46" s="82" t="str">
        <x:f>IF($C46="","",Q46-S46-U46-V46-W46-X46-Z46)</x:f>
      </x:c>
      <x:c r="AB46" s="82" t="str">
        <x:f>IF($C46="","",AA46-Y46)</x:f>
      </x:c>
      <x:c r="AC46" s="83" t="str">
        <x:f>IF(OR($C46="",Q46=0),"n.a.",AB46/Q46)</x:f>
        <x:v>n.a.</x:v>
      </x:c>
      <x:c r="AD46" s="82" t="str">
        <x:f>IF(OR($C46="",L46=0),"n.a.",Y46/L46)</x:f>
        <x:v>n.a.</x:v>
      </x:c>
      <x:c r="AE46" s="82" t="str">
        <x:f>IF(OR($C46="",K46=0),"n.a.",Q46/K46)</x:f>
        <x:v>n.a.</x:v>
      </x:c>
      <x:c r="AF46" s="30"/>
      <x:c r="AG46" s="30"/>
      <x:c r="AH46" s="30"/>
      <x:c r="AI46" s="84" t="str">
        <x:f>IF(OR($C46="",AF46="",AH46="",AVERAGE(AF46,AH46)=0),"n.a.",J46/AVERAGE(AF46,AH46))</x:f>
        <x:v>n.a.</x:v>
      </x:c>
      <x:c r="AJ46" s="84" t="str">
        <x:f>IF(OR($C46="",J46=0,AH46=""),"n.a.",AH46/(J46/4.33))</x:f>
        <x:v>n.a.</x:v>
      </x:c>
      <x:c r="AK46" s="29"/>
      <x:c r="AL46" s="30"/>
      <x:c r="AM46" s="30"/>
      <x:c r="AN46" s="82" t="str">
        <x:f>IF(OR($C46="",AL46="",NOT(ISNUMBER(AC46))),"",AL46*AC46-AM46)</x:f>
      </x:c>
      <x:c r="AO46" s="261"/>
      <x:c r="AP46" s="261"/>
    </x:row>
    <x:row r="47" ht="15" hidden="0" customHeight="1">
      <x:c r="A47" s="22"/>
      <x:c r="B47" s="81"/>
      <x:c r="C47" s="22"/>
      <x:c r="D47" s="261"/>
      <x:c r="E47" s="261"/>
      <x:c r="F47" s="261"/>
      <x:c r="G47" s="22"/>
      <x:c r="H47" s="22"/>
      <x:c r="I47" s="22"/>
      <x:c r="J47" s="30"/>
      <x:c r="K47" s="30"/>
      <x:c r="L47" s="30"/>
      <x:c r="M47" s="30"/>
      <x:c r="N47" s="30"/>
      <x:c r="O47" s="30"/>
      <x:c r="P47" s="82" t="str">
        <x:f>IF(OR($C47="",$J47="",$M47=""),"",J47*M47)</x:f>
      </x:c>
      <x:c r="Q47" s="82" t="str">
        <x:f>IF(P47="","",P47-N47-O47)</x:f>
      </x:c>
      <x:c r="R47" s="30"/>
      <x:c r="S47" s="82" t="str">
        <x:f>IF(OR($C47="",$J47="",$R47=""),"",J47*R47)</x:f>
      </x:c>
      <x:c r="T47" s="31"/>
      <x:c r="U47" s="82" t="str">
        <x:f>IF(OR($C47="",$Q47="",$T47=""),"",Q47*T47)</x:f>
      </x:c>
      <x:c r="V47" s="30"/>
      <x:c r="W47" s="30"/>
      <x:c r="X47" s="30"/>
      <x:c r="Y47" s="30"/>
      <x:c r="Z47" s="30"/>
      <x:c r="AA47" s="82" t="str">
        <x:f>IF($C47="","",Q47-S47-U47-V47-W47-X47-Z47)</x:f>
      </x:c>
      <x:c r="AB47" s="82" t="str">
        <x:f>IF($C47="","",AA47-Y47)</x:f>
      </x:c>
      <x:c r="AC47" s="83" t="str">
        <x:f>IF(OR($C47="",Q47=0),"n.a.",AB47/Q47)</x:f>
        <x:v>n.a.</x:v>
      </x:c>
      <x:c r="AD47" s="82" t="str">
        <x:f>IF(OR($C47="",L47=0),"n.a.",Y47/L47)</x:f>
        <x:v>n.a.</x:v>
      </x:c>
      <x:c r="AE47" s="82" t="str">
        <x:f>IF(OR($C47="",K47=0),"n.a.",Q47/K47)</x:f>
        <x:v>n.a.</x:v>
      </x:c>
      <x:c r="AF47" s="30"/>
      <x:c r="AG47" s="30"/>
      <x:c r="AH47" s="30"/>
      <x:c r="AI47" s="84" t="str">
        <x:f>IF(OR($C47="",AF47="",AH47="",AVERAGE(AF47,AH47)=0),"n.a.",J47/AVERAGE(AF47,AH47))</x:f>
        <x:v>n.a.</x:v>
      </x:c>
      <x:c r="AJ47" s="84" t="str">
        <x:f>IF(OR($C47="",J47=0,AH47=""),"n.a.",AH47/(J47/4.33))</x:f>
        <x:v>n.a.</x:v>
      </x:c>
      <x:c r="AK47" s="29"/>
      <x:c r="AL47" s="30"/>
      <x:c r="AM47" s="30"/>
      <x:c r="AN47" s="82" t="str">
        <x:f>IF(OR($C47="",AL47="",NOT(ISNUMBER(AC47))),"",AL47*AC47-AM47)</x:f>
      </x:c>
      <x:c r="AO47" s="261"/>
      <x:c r="AP47" s="261"/>
    </x:row>
    <x:row r="48" ht="15" hidden="0" customHeight="1">
      <x:c r="A48" s="22"/>
      <x:c r="B48" s="81"/>
      <x:c r="C48" s="22"/>
      <x:c r="D48" s="261"/>
      <x:c r="E48" s="261"/>
      <x:c r="F48" s="261"/>
      <x:c r="G48" s="22"/>
      <x:c r="H48" s="22"/>
      <x:c r="I48" s="22"/>
      <x:c r="J48" s="30"/>
      <x:c r="K48" s="30"/>
      <x:c r="L48" s="30"/>
      <x:c r="M48" s="30"/>
      <x:c r="N48" s="30"/>
      <x:c r="O48" s="30"/>
      <x:c r="P48" s="82" t="str">
        <x:f>IF(OR($C48="",$J48="",$M48=""),"",J48*M48)</x:f>
      </x:c>
      <x:c r="Q48" s="82" t="str">
        <x:f>IF(P48="","",P48-N48-O48)</x:f>
      </x:c>
      <x:c r="R48" s="30"/>
      <x:c r="S48" s="82" t="str">
        <x:f>IF(OR($C48="",$J48="",$R48=""),"",J48*R48)</x:f>
      </x:c>
      <x:c r="T48" s="31"/>
      <x:c r="U48" s="82" t="str">
        <x:f>IF(OR($C48="",$Q48="",$T48=""),"",Q48*T48)</x:f>
      </x:c>
      <x:c r="V48" s="30"/>
      <x:c r="W48" s="30"/>
      <x:c r="X48" s="30"/>
      <x:c r="Y48" s="30"/>
      <x:c r="Z48" s="30"/>
      <x:c r="AA48" s="82" t="str">
        <x:f>IF($C48="","",Q48-S48-U48-V48-W48-X48-Z48)</x:f>
      </x:c>
      <x:c r="AB48" s="82" t="str">
        <x:f>IF($C48="","",AA48-Y48)</x:f>
      </x:c>
      <x:c r="AC48" s="83" t="str">
        <x:f>IF(OR($C48="",Q48=0),"n.a.",AB48/Q48)</x:f>
        <x:v>n.a.</x:v>
      </x:c>
      <x:c r="AD48" s="82" t="str">
        <x:f>IF(OR($C48="",L48=0),"n.a.",Y48/L48)</x:f>
        <x:v>n.a.</x:v>
      </x:c>
      <x:c r="AE48" s="82" t="str">
        <x:f>IF(OR($C48="",K48=0),"n.a.",Q48/K48)</x:f>
        <x:v>n.a.</x:v>
      </x:c>
      <x:c r="AF48" s="30"/>
      <x:c r="AG48" s="30"/>
      <x:c r="AH48" s="30"/>
      <x:c r="AI48" s="84" t="str">
        <x:f>IF(OR($C48="",AF48="",AH48="",AVERAGE(AF48,AH48)=0),"n.a.",J48/AVERAGE(AF48,AH48))</x:f>
        <x:v>n.a.</x:v>
      </x:c>
      <x:c r="AJ48" s="84" t="str">
        <x:f>IF(OR($C48="",J48=0,AH48=""),"n.a.",AH48/(J48/4.33))</x:f>
        <x:v>n.a.</x:v>
      </x:c>
      <x:c r="AK48" s="29"/>
      <x:c r="AL48" s="30"/>
      <x:c r="AM48" s="30"/>
      <x:c r="AN48" s="82" t="str">
        <x:f>IF(OR($C48="",AL48="",NOT(ISNUMBER(AC48))),"",AL48*AC48-AM48)</x:f>
      </x:c>
      <x:c r="AO48" s="261"/>
      <x:c r="AP48" s="261"/>
    </x:row>
    <x:row r="49" ht="15" hidden="0" customHeight="1">
      <x:c r="A49" s="22"/>
      <x:c r="B49" s="81"/>
      <x:c r="C49" s="22"/>
      <x:c r="D49" s="261"/>
      <x:c r="E49" s="261"/>
      <x:c r="F49" s="261"/>
      <x:c r="G49" s="22"/>
      <x:c r="H49" s="22"/>
      <x:c r="I49" s="22"/>
      <x:c r="J49" s="30"/>
      <x:c r="K49" s="30"/>
      <x:c r="L49" s="30"/>
      <x:c r="M49" s="30"/>
      <x:c r="N49" s="30"/>
      <x:c r="O49" s="30"/>
      <x:c r="P49" s="82" t="str">
        <x:f>IF(OR($C49="",$J49="",$M49=""),"",J49*M49)</x:f>
      </x:c>
      <x:c r="Q49" s="82" t="str">
        <x:f>IF(P49="","",P49-N49-O49)</x:f>
      </x:c>
      <x:c r="R49" s="30"/>
      <x:c r="S49" s="82" t="str">
        <x:f>IF(OR($C49="",$J49="",$R49=""),"",J49*R49)</x:f>
      </x:c>
      <x:c r="T49" s="31"/>
      <x:c r="U49" s="82" t="str">
        <x:f>IF(OR($C49="",$Q49="",$T49=""),"",Q49*T49)</x:f>
      </x:c>
      <x:c r="V49" s="30"/>
      <x:c r="W49" s="30"/>
      <x:c r="X49" s="30"/>
      <x:c r="Y49" s="30"/>
      <x:c r="Z49" s="30"/>
      <x:c r="AA49" s="82" t="str">
        <x:f>IF($C49="","",Q49-S49-U49-V49-W49-X49-Z49)</x:f>
      </x:c>
      <x:c r="AB49" s="82" t="str">
        <x:f>IF($C49="","",AA49-Y49)</x:f>
      </x:c>
      <x:c r="AC49" s="83" t="str">
        <x:f>IF(OR($C49="",Q49=0),"n.a.",AB49/Q49)</x:f>
        <x:v>n.a.</x:v>
      </x:c>
      <x:c r="AD49" s="82" t="str">
        <x:f>IF(OR($C49="",L49=0),"n.a.",Y49/L49)</x:f>
        <x:v>n.a.</x:v>
      </x:c>
      <x:c r="AE49" s="82" t="str">
        <x:f>IF(OR($C49="",K49=0),"n.a.",Q49/K49)</x:f>
        <x:v>n.a.</x:v>
      </x:c>
      <x:c r="AF49" s="30"/>
      <x:c r="AG49" s="30"/>
      <x:c r="AH49" s="30"/>
      <x:c r="AI49" s="84" t="str">
        <x:f>IF(OR($C49="",AF49="",AH49="",AVERAGE(AF49,AH49)=0),"n.a.",J49/AVERAGE(AF49,AH49))</x:f>
        <x:v>n.a.</x:v>
      </x:c>
      <x:c r="AJ49" s="84" t="str">
        <x:f>IF(OR($C49="",J49=0,AH49=""),"n.a.",AH49/(J49/4.33))</x:f>
        <x:v>n.a.</x:v>
      </x:c>
      <x:c r="AK49" s="29"/>
      <x:c r="AL49" s="30"/>
      <x:c r="AM49" s="30"/>
      <x:c r="AN49" s="82" t="str">
        <x:f>IF(OR($C49="",AL49="",NOT(ISNUMBER(AC49))),"",AL49*AC49-AM49)</x:f>
      </x:c>
      <x:c r="AO49" s="261"/>
      <x:c r="AP49" s="261"/>
    </x:row>
    <x:row r="50" ht="15" hidden="0" customHeight="1">
      <x:c r="A50" s="22"/>
      <x:c r="B50" s="81"/>
      <x:c r="C50" s="22"/>
      <x:c r="D50" s="261"/>
      <x:c r="E50" s="261"/>
      <x:c r="F50" s="261"/>
      <x:c r="G50" s="22"/>
      <x:c r="H50" s="22"/>
      <x:c r="I50" s="22"/>
      <x:c r="J50" s="30"/>
      <x:c r="K50" s="30"/>
      <x:c r="L50" s="30"/>
      <x:c r="M50" s="30"/>
      <x:c r="N50" s="30"/>
      <x:c r="O50" s="30"/>
      <x:c r="P50" s="82" t="str">
        <x:f>IF(OR($C50="",$J50="",$M50=""),"",J50*M50)</x:f>
      </x:c>
      <x:c r="Q50" s="82" t="str">
        <x:f>IF(P50="","",P50-N50-O50)</x:f>
      </x:c>
      <x:c r="R50" s="30"/>
      <x:c r="S50" s="82" t="str">
        <x:f>IF(OR($C50="",$J50="",$R50=""),"",J50*R50)</x:f>
      </x:c>
      <x:c r="T50" s="31"/>
      <x:c r="U50" s="82" t="str">
        <x:f>IF(OR($C50="",$Q50="",$T50=""),"",Q50*T50)</x:f>
      </x:c>
      <x:c r="V50" s="30"/>
      <x:c r="W50" s="30"/>
      <x:c r="X50" s="30"/>
      <x:c r="Y50" s="30"/>
      <x:c r="Z50" s="30"/>
      <x:c r="AA50" s="82" t="str">
        <x:f>IF($C50="","",Q50-S50-U50-V50-W50-X50-Z50)</x:f>
      </x:c>
      <x:c r="AB50" s="82" t="str">
        <x:f>IF($C50="","",AA50-Y50)</x:f>
      </x:c>
      <x:c r="AC50" s="83" t="str">
        <x:f>IF(OR($C50="",Q50=0),"n.a.",AB50/Q50)</x:f>
        <x:v>n.a.</x:v>
      </x:c>
      <x:c r="AD50" s="82" t="str">
        <x:f>IF(OR($C50="",L50=0),"n.a.",Y50/L50)</x:f>
        <x:v>n.a.</x:v>
      </x:c>
      <x:c r="AE50" s="82" t="str">
        <x:f>IF(OR($C50="",K50=0),"n.a.",Q50/K50)</x:f>
        <x:v>n.a.</x:v>
      </x:c>
      <x:c r="AF50" s="30"/>
      <x:c r="AG50" s="30"/>
      <x:c r="AH50" s="30"/>
      <x:c r="AI50" s="84" t="str">
        <x:f>IF(OR($C50="",AF50="",AH50="",AVERAGE(AF50,AH50)=0),"n.a.",J50/AVERAGE(AF50,AH50))</x:f>
        <x:v>n.a.</x:v>
      </x:c>
      <x:c r="AJ50" s="84" t="str">
        <x:f>IF(OR($C50="",J50=0,AH50=""),"n.a.",AH50/(J50/4.33))</x:f>
        <x:v>n.a.</x:v>
      </x:c>
      <x:c r="AK50" s="29"/>
      <x:c r="AL50" s="30"/>
      <x:c r="AM50" s="30"/>
      <x:c r="AN50" s="82" t="str">
        <x:f>IF(OR($C50="",AL50="",NOT(ISNUMBER(AC50))),"",AL50*AC50-AM50)</x:f>
      </x:c>
      <x:c r="AO50" s="261"/>
      <x:c r="AP50" s="261"/>
    </x:row>
    <x:row r="51" ht="15" hidden="0" customHeight="1">
      <x:c r="A51" s="22"/>
      <x:c r="B51" s="81"/>
      <x:c r="C51" s="22"/>
      <x:c r="D51" s="261"/>
      <x:c r="E51" s="261"/>
      <x:c r="F51" s="261"/>
      <x:c r="G51" s="22"/>
      <x:c r="H51" s="22"/>
      <x:c r="I51" s="22"/>
      <x:c r="J51" s="30"/>
      <x:c r="K51" s="30"/>
      <x:c r="L51" s="30"/>
      <x:c r="M51" s="30"/>
      <x:c r="N51" s="30"/>
      <x:c r="O51" s="30"/>
      <x:c r="P51" s="82" t="str">
        <x:f>IF(OR($C51="",$J51="",$M51=""),"",J51*M51)</x:f>
      </x:c>
      <x:c r="Q51" s="82" t="str">
        <x:f>IF(P51="","",P51-N51-O51)</x:f>
      </x:c>
      <x:c r="R51" s="30"/>
      <x:c r="S51" s="82" t="str">
        <x:f>IF(OR($C51="",$J51="",$R51=""),"",J51*R51)</x:f>
      </x:c>
      <x:c r="T51" s="31"/>
      <x:c r="U51" s="82" t="str">
        <x:f>IF(OR($C51="",$Q51="",$T51=""),"",Q51*T51)</x:f>
      </x:c>
      <x:c r="V51" s="30"/>
      <x:c r="W51" s="30"/>
      <x:c r="X51" s="30"/>
      <x:c r="Y51" s="30"/>
      <x:c r="Z51" s="30"/>
      <x:c r="AA51" s="82" t="str">
        <x:f>IF($C51="","",Q51-S51-U51-V51-W51-X51-Z51)</x:f>
      </x:c>
      <x:c r="AB51" s="82" t="str">
        <x:f>IF($C51="","",AA51-Y51)</x:f>
      </x:c>
      <x:c r="AC51" s="83" t="str">
        <x:f>IF(OR($C51="",Q51=0),"n.a.",AB51/Q51)</x:f>
        <x:v>n.a.</x:v>
      </x:c>
      <x:c r="AD51" s="82" t="str">
        <x:f>IF(OR($C51="",L51=0),"n.a.",Y51/L51)</x:f>
        <x:v>n.a.</x:v>
      </x:c>
      <x:c r="AE51" s="82" t="str">
        <x:f>IF(OR($C51="",K51=0),"n.a.",Q51/K51)</x:f>
        <x:v>n.a.</x:v>
      </x:c>
      <x:c r="AF51" s="30"/>
      <x:c r="AG51" s="30"/>
      <x:c r="AH51" s="30"/>
      <x:c r="AI51" s="84" t="str">
        <x:f>IF(OR($C51="",AF51="",AH51="",AVERAGE(AF51,AH51)=0),"n.a.",J51/AVERAGE(AF51,AH51))</x:f>
        <x:v>n.a.</x:v>
      </x:c>
      <x:c r="AJ51" s="84" t="str">
        <x:f>IF(OR($C51="",J51=0,AH51=""),"n.a.",AH51/(J51/4.33))</x:f>
        <x:v>n.a.</x:v>
      </x:c>
      <x:c r="AK51" s="29"/>
      <x:c r="AL51" s="30"/>
      <x:c r="AM51" s="30"/>
      <x:c r="AN51" s="82" t="str">
        <x:f>IF(OR($C51="",AL51="",NOT(ISNUMBER(AC51))),"",AL51*AC51-AM51)</x:f>
      </x:c>
      <x:c r="AO51" s="261"/>
      <x:c r="AP51" s="261"/>
    </x:row>
    <x:row r="52" ht="15" hidden="0" customHeight="1">
      <x:c r="A52" s="22"/>
      <x:c r="B52" s="81"/>
      <x:c r="C52" s="22"/>
      <x:c r="D52" s="261"/>
      <x:c r="E52" s="261"/>
      <x:c r="F52" s="261"/>
      <x:c r="G52" s="22"/>
      <x:c r="H52" s="22"/>
      <x:c r="I52" s="22"/>
      <x:c r="J52" s="30"/>
      <x:c r="K52" s="30"/>
      <x:c r="L52" s="30"/>
      <x:c r="M52" s="30"/>
      <x:c r="N52" s="30"/>
      <x:c r="O52" s="30"/>
      <x:c r="P52" s="82" t="str">
        <x:f>IF(OR($C52="",$J52="",$M52=""),"",J52*M52)</x:f>
      </x:c>
      <x:c r="Q52" s="82" t="str">
        <x:f>IF(P52="","",P52-N52-O52)</x:f>
      </x:c>
      <x:c r="R52" s="30"/>
      <x:c r="S52" s="82" t="str">
        <x:f>IF(OR($C52="",$J52="",$R52=""),"",J52*R52)</x:f>
      </x:c>
      <x:c r="T52" s="31"/>
      <x:c r="U52" s="82" t="str">
        <x:f>IF(OR($C52="",$Q52="",$T52=""),"",Q52*T52)</x:f>
      </x:c>
      <x:c r="V52" s="30"/>
      <x:c r="W52" s="30"/>
      <x:c r="X52" s="30"/>
      <x:c r="Y52" s="30"/>
      <x:c r="Z52" s="30"/>
      <x:c r="AA52" s="82" t="str">
        <x:f>IF($C52="","",Q52-S52-U52-V52-W52-X52-Z52)</x:f>
      </x:c>
      <x:c r="AB52" s="82" t="str">
        <x:f>IF($C52="","",AA52-Y52)</x:f>
      </x:c>
      <x:c r="AC52" s="83" t="str">
        <x:f>IF(OR($C52="",Q52=0),"n.a.",AB52/Q52)</x:f>
        <x:v>n.a.</x:v>
      </x:c>
      <x:c r="AD52" s="82" t="str">
        <x:f>IF(OR($C52="",L52=0),"n.a.",Y52/L52)</x:f>
        <x:v>n.a.</x:v>
      </x:c>
      <x:c r="AE52" s="82" t="str">
        <x:f>IF(OR($C52="",K52=0),"n.a.",Q52/K52)</x:f>
        <x:v>n.a.</x:v>
      </x:c>
      <x:c r="AF52" s="30"/>
      <x:c r="AG52" s="30"/>
      <x:c r="AH52" s="30"/>
      <x:c r="AI52" s="84" t="str">
        <x:f>IF(OR($C52="",AF52="",AH52="",AVERAGE(AF52,AH52)=0),"n.a.",J52/AVERAGE(AF52,AH52))</x:f>
        <x:v>n.a.</x:v>
      </x:c>
      <x:c r="AJ52" s="84" t="str">
        <x:f>IF(OR($C52="",J52=0,AH52=""),"n.a.",AH52/(J52/4.33))</x:f>
        <x:v>n.a.</x:v>
      </x:c>
      <x:c r="AK52" s="29"/>
      <x:c r="AL52" s="30"/>
      <x:c r="AM52" s="30"/>
      <x:c r="AN52" s="82" t="str">
        <x:f>IF(OR($C52="",AL52="",NOT(ISNUMBER(AC52))),"",AL52*AC52-AM52)</x:f>
      </x:c>
      <x:c r="AO52" s="261"/>
      <x:c r="AP52" s="261"/>
    </x:row>
    <x:row r="53" ht="15" hidden="0" customHeight="1">
      <x:c r="A53" s="22"/>
      <x:c r="B53" s="81"/>
      <x:c r="C53" s="22"/>
      <x:c r="D53" s="261"/>
      <x:c r="E53" s="261"/>
      <x:c r="F53" s="261"/>
      <x:c r="G53" s="22"/>
      <x:c r="H53" s="22"/>
      <x:c r="I53" s="22"/>
      <x:c r="J53" s="30"/>
      <x:c r="K53" s="30"/>
      <x:c r="L53" s="30"/>
      <x:c r="M53" s="30"/>
      <x:c r="N53" s="30"/>
      <x:c r="O53" s="30"/>
      <x:c r="P53" s="82" t="str">
        <x:f>IF(OR($C53="",$J53="",$M53=""),"",J53*M53)</x:f>
      </x:c>
      <x:c r="Q53" s="82" t="str">
        <x:f>IF(P53="","",P53-N53-O53)</x:f>
      </x:c>
      <x:c r="R53" s="30"/>
      <x:c r="S53" s="82" t="str">
        <x:f>IF(OR($C53="",$J53="",$R53=""),"",J53*R53)</x:f>
      </x:c>
      <x:c r="T53" s="31"/>
      <x:c r="U53" s="82" t="str">
        <x:f>IF(OR($C53="",$Q53="",$T53=""),"",Q53*T53)</x:f>
      </x:c>
      <x:c r="V53" s="30"/>
      <x:c r="W53" s="30"/>
      <x:c r="X53" s="30"/>
      <x:c r="Y53" s="30"/>
      <x:c r="Z53" s="30"/>
      <x:c r="AA53" s="82" t="str">
        <x:f>IF($C53="","",Q53-S53-U53-V53-W53-X53-Z53)</x:f>
      </x:c>
      <x:c r="AB53" s="82" t="str">
        <x:f>IF($C53="","",AA53-Y53)</x:f>
      </x:c>
      <x:c r="AC53" s="83" t="str">
        <x:f>IF(OR($C53="",Q53=0),"n.a.",AB53/Q53)</x:f>
        <x:v>n.a.</x:v>
      </x:c>
      <x:c r="AD53" s="82" t="str">
        <x:f>IF(OR($C53="",L53=0),"n.a.",Y53/L53)</x:f>
        <x:v>n.a.</x:v>
      </x:c>
      <x:c r="AE53" s="82" t="str">
        <x:f>IF(OR($C53="",K53=0),"n.a.",Q53/K53)</x:f>
        <x:v>n.a.</x:v>
      </x:c>
      <x:c r="AF53" s="30"/>
      <x:c r="AG53" s="30"/>
      <x:c r="AH53" s="30"/>
      <x:c r="AI53" s="84" t="str">
        <x:f>IF(OR($C53="",AF53="",AH53="",AVERAGE(AF53,AH53)=0),"n.a.",J53/AVERAGE(AF53,AH53))</x:f>
        <x:v>n.a.</x:v>
      </x:c>
      <x:c r="AJ53" s="84" t="str">
        <x:f>IF(OR($C53="",J53=0,AH53=""),"n.a.",AH53/(J53/4.33))</x:f>
        <x:v>n.a.</x:v>
      </x:c>
      <x:c r="AK53" s="29"/>
      <x:c r="AL53" s="30"/>
      <x:c r="AM53" s="30"/>
      <x:c r="AN53" s="82" t="str">
        <x:f>IF(OR($C53="",AL53="",NOT(ISNUMBER(AC53))),"",AL53*AC53-AM53)</x:f>
      </x:c>
      <x:c r="AO53" s="261"/>
      <x:c r="AP53" s="261"/>
    </x:row>
    <x:row r="54" ht="15" hidden="0" customHeight="1">
      <x:c r="A54" s="22"/>
      <x:c r="B54" s="81"/>
      <x:c r="C54" s="22"/>
      <x:c r="D54" s="261"/>
      <x:c r="E54" s="261"/>
      <x:c r="F54" s="261"/>
      <x:c r="G54" s="22"/>
      <x:c r="H54" s="22"/>
      <x:c r="I54" s="22"/>
      <x:c r="J54" s="30"/>
      <x:c r="K54" s="30"/>
      <x:c r="L54" s="30"/>
      <x:c r="M54" s="30"/>
      <x:c r="N54" s="30"/>
      <x:c r="O54" s="30"/>
      <x:c r="P54" s="82" t="str">
        <x:f>IF(OR($C54="",$J54="",$M54=""),"",J54*M54)</x:f>
      </x:c>
      <x:c r="Q54" s="82" t="str">
        <x:f>IF(P54="","",P54-N54-O54)</x:f>
      </x:c>
      <x:c r="R54" s="30"/>
      <x:c r="S54" s="82" t="str">
        <x:f>IF(OR($C54="",$J54="",$R54=""),"",J54*R54)</x:f>
      </x:c>
      <x:c r="T54" s="31"/>
      <x:c r="U54" s="82" t="str">
        <x:f>IF(OR($C54="",$Q54="",$T54=""),"",Q54*T54)</x:f>
      </x:c>
      <x:c r="V54" s="30"/>
      <x:c r="W54" s="30"/>
      <x:c r="X54" s="30"/>
      <x:c r="Y54" s="30"/>
      <x:c r="Z54" s="30"/>
      <x:c r="AA54" s="82" t="str">
        <x:f>IF($C54="","",Q54-S54-U54-V54-W54-X54-Z54)</x:f>
      </x:c>
      <x:c r="AB54" s="82" t="str">
        <x:f>IF($C54="","",AA54-Y54)</x:f>
      </x:c>
      <x:c r="AC54" s="83" t="str">
        <x:f>IF(OR($C54="",Q54=0),"n.a.",AB54/Q54)</x:f>
        <x:v>n.a.</x:v>
      </x:c>
      <x:c r="AD54" s="82" t="str">
        <x:f>IF(OR($C54="",L54=0),"n.a.",Y54/L54)</x:f>
        <x:v>n.a.</x:v>
      </x:c>
      <x:c r="AE54" s="82" t="str">
        <x:f>IF(OR($C54="",K54=0),"n.a.",Q54/K54)</x:f>
        <x:v>n.a.</x:v>
      </x:c>
      <x:c r="AF54" s="30"/>
      <x:c r="AG54" s="30"/>
      <x:c r="AH54" s="30"/>
      <x:c r="AI54" s="84" t="str">
        <x:f>IF(OR($C54="",AF54="",AH54="",AVERAGE(AF54,AH54)=0),"n.a.",J54/AVERAGE(AF54,AH54))</x:f>
        <x:v>n.a.</x:v>
      </x:c>
      <x:c r="AJ54" s="84" t="str">
        <x:f>IF(OR($C54="",J54=0,AH54=""),"n.a.",AH54/(J54/4.33))</x:f>
        <x:v>n.a.</x:v>
      </x:c>
      <x:c r="AK54" s="29"/>
      <x:c r="AL54" s="30"/>
      <x:c r="AM54" s="30"/>
      <x:c r="AN54" s="82" t="str">
        <x:f>IF(OR($C54="",AL54="",NOT(ISNUMBER(AC54))),"",AL54*AC54-AM54)</x:f>
      </x:c>
      <x:c r="AO54" s="261"/>
      <x:c r="AP54" s="261"/>
    </x:row>
    <x:row r="55" ht="15" hidden="0" customHeight="1">
      <x:c r="A55" s="22"/>
      <x:c r="B55" s="81"/>
      <x:c r="C55" s="22"/>
      <x:c r="D55" s="261"/>
      <x:c r="E55" s="261"/>
      <x:c r="F55" s="261"/>
      <x:c r="G55" s="22"/>
      <x:c r="H55" s="22"/>
      <x:c r="I55" s="22"/>
      <x:c r="J55" s="30"/>
      <x:c r="K55" s="30"/>
      <x:c r="L55" s="30"/>
      <x:c r="M55" s="30"/>
      <x:c r="N55" s="30"/>
      <x:c r="O55" s="30"/>
      <x:c r="P55" s="82" t="str">
        <x:f>IF(OR($C55="",$J55="",$M55=""),"",J55*M55)</x:f>
      </x:c>
      <x:c r="Q55" s="82" t="str">
        <x:f>IF(P55="","",P55-N55-O55)</x:f>
      </x:c>
      <x:c r="R55" s="30"/>
      <x:c r="S55" s="82" t="str">
        <x:f>IF(OR($C55="",$J55="",$R55=""),"",J55*R55)</x:f>
      </x:c>
      <x:c r="T55" s="31"/>
      <x:c r="U55" s="82" t="str">
        <x:f>IF(OR($C55="",$Q55="",$T55=""),"",Q55*T55)</x:f>
      </x:c>
      <x:c r="V55" s="30"/>
      <x:c r="W55" s="30"/>
      <x:c r="X55" s="30"/>
      <x:c r="Y55" s="30"/>
      <x:c r="Z55" s="30"/>
      <x:c r="AA55" s="82" t="str">
        <x:f>IF($C55="","",Q55-S55-U55-V55-W55-X55-Z55)</x:f>
      </x:c>
      <x:c r="AB55" s="82" t="str">
        <x:f>IF($C55="","",AA55-Y55)</x:f>
      </x:c>
      <x:c r="AC55" s="83" t="str">
        <x:f>IF(OR($C55="",Q55=0),"n.a.",AB55/Q55)</x:f>
        <x:v>n.a.</x:v>
      </x:c>
      <x:c r="AD55" s="82" t="str">
        <x:f>IF(OR($C55="",L55=0),"n.a.",Y55/L55)</x:f>
        <x:v>n.a.</x:v>
      </x:c>
      <x:c r="AE55" s="82" t="str">
        <x:f>IF(OR($C55="",K55=0),"n.a.",Q55/K55)</x:f>
        <x:v>n.a.</x:v>
      </x:c>
      <x:c r="AF55" s="30"/>
      <x:c r="AG55" s="30"/>
      <x:c r="AH55" s="30"/>
      <x:c r="AI55" s="84" t="str">
        <x:f>IF(OR($C55="",AF55="",AH55="",AVERAGE(AF55,AH55)=0),"n.a.",J55/AVERAGE(AF55,AH55))</x:f>
        <x:v>n.a.</x:v>
      </x:c>
      <x:c r="AJ55" s="84" t="str">
        <x:f>IF(OR($C55="",J55=0,AH55=""),"n.a.",AH55/(J55/4.33))</x:f>
        <x:v>n.a.</x:v>
      </x:c>
      <x:c r="AK55" s="29"/>
      <x:c r="AL55" s="30"/>
      <x:c r="AM55" s="30"/>
      <x:c r="AN55" s="82" t="str">
        <x:f>IF(OR($C55="",AL55="",NOT(ISNUMBER(AC55))),"",AL55*AC55-AM55)</x:f>
      </x:c>
      <x:c r="AO55" s="261"/>
      <x:c r="AP55" s="261"/>
    </x:row>
    <x:row r="56" ht="15" hidden="0" customHeight="1">
      <x:c r="A56" s="22"/>
      <x:c r="B56" s="81"/>
      <x:c r="C56" s="22"/>
      <x:c r="D56" s="261"/>
      <x:c r="E56" s="261"/>
      <x:c r="F56" s="261"/>
      <x:c r="G56" s="22"/>
      <x:c r="H56" s="22"/>
      <x:c r="I56" s="22"/>
      <x:c r="J56" s="30"/>
      <x:c r="K56" s="30"/>
      <x:c r="L56" s="30"/>
      <x:c r="M56" s="30"/>
      <x:c r="N56" s="30"/>
      <x:c r="O56" s="30"/>
      <x:c r="P56" s="82" t="str">
        <x:f>IF(OR($C56="",$J56="",$M56=""),"",J56*M56)</x:f>
      </x:c>
      <x:c r="Q56" s="82" t="str">
        <x:f>IF(P56="","",P56-N56-O56)</x:f>
      </x:c>
      <x:c r="R56" s="30"/>
      <x:c r="S56" s="82" t="str">
        <x:f>IF(OR($C56="",$J56="",$R56=""),"",J56*R56)</x:f>
      </x:c>
      <x:c r="T56" s="31"/>
      <x:c r="U56" s="82" t="str">
        <x:f>IF(OR($C56="",$Q56="",$T56=""),"",Q56*T56)</x:f>
      </x:c>
      <x:c r="V56" s="30"/>
      <x:c r="W56" s="30"/>
      <x:c r="X56" s="30"/>
      <x:c r="Y56" s="30"/>
      <x:c r="Z56" s="30"/>
      <x:c r="AA56" s="82" t="str">
        <x:f>IF($C56="","",Q56-S56-U56-V56-W56-X56-Z56)</x:f>
      </x:c>
      <x:c r="AB56" s="82" t="str">
        <x:f>IF($C56="","",AA56-Y56)</x:f>
      </x:c>
      <x:c r="AC56" s="83" t="str">
        <x:f>IF(OR($C56="",Q56=0),"n.a.",AB56/Q56)</x:f>
        <x:v>n.a.</x:v>
      </x:c>
      <x:c r="AD56" s="82" t="str">
        <x:f>IF(OR($C56="",L56=0),"n.a.",Y56/L56)</x:f>
        <x:v>n.a.</x:v>
      </x:c>
      <x:c r="AE56" s="82" t="str">
        <x:f>IF(OR($C56="",K56=0),"n.a.",Q56/K56)</x:f>
        <x:v>n.a.</x:v>
      </x:c>
      <x:c r="AF56" s="30"/>
      <x:c r="AG56" s="30"/>
      <x:c r="AH56" s="30"/>
      <x:c r="AI56" s="84" t="str">
        <x:f>IF(OR($C56="",AF56="",AH56="",AVERAGE(AF56,AH56)=0),"n.a.",J56/AVERAGE(AF56,AH56))</x:f>
        <x:v>n.a.</x:v>
      </x:c>
      <x:c r="AJ56" s="84" t="str">
        <x:f>IF(OR($C56="",J56=0,AH56=""),"n.a.",AH56/(J56/4.33))</x:f>
        <x:v>n.a.</x:v>
      </x:c>
      <x:c r="AK56" s="29"/>
      <x:c r="AL56" s="30"/>
      <x:c r="AM56" s="30"/>
      <x:c r="AN56" s="82" t="str">
        <x:f>IF(OR($C56="",AL56="",NOT(ISNUMBER(AC56))),"",AL56*AC56-AM56)</x:f>
      </x:c>
      <x:c r="AO56" s="261"/>
      <x:c r="AP56" s="261"/>
    </x:row>
    <x:row r="57" ht="15" hidden="0" customHeight="1">
      <x:c r="A57" s="22"/>
      <x:c r="B57" s="81"/>
      <x:c r="C57" s="22"/>
      <x:c r="D57" s="261"/>
      <x:c r="E57" s="261"/>
      <x:c r="F57" s="261"/>
      <x:c r="G57" s="22"/>
      <x:c r="H57" s="22"/>
      <x:c r="I57" s="22"/>
      <x:c r="J57" s="30"/>
      <x:c r="K57" s="30"/>
      <x:c r="L57" s="30"/>
      <x:c r="M57" s="30"/>
      <x:c r="N57" s="30"/>
      <x:c r="O57" s="30"/>
      <x:c r="P57" s="82" t="str">
        <x:f>IF(OR($C57="",$J57="",$M57=""),"",J57*M57)</x:f>
      </x:c>
      <x:c r="Q57" s="82" t="str">
        <x:f>IF(P57="","",P57-N57-O57)</x:f>
      </x:c>
      <x:c r="R57" s="30"/>
      <x:c r="S57" s="82" t="str">
        <x:f>IF(OR($C57="",$J57="",$R57=""),"",J57*R57)</x:f>
      </x:c>
      <x:c r="T57" s="31"/>
      <x:c r="U57" s="82" t="str">
        <x:f>IF(OR($C57="",$Q57="",$T57=""),"",Q57*T57)</x:f>
      </x:c>
      <x:c r="V57" s="30"/>
      <x:c r="W57" s="30"/>
      <x:c r="X57" s="30"/>
      <x:c r="Y57" s="30"/>
      <x:c r="Z57" s="30"/>
      <x:c r="AA57" s="82" t="str">
        <x:f>IF($C57="","",Q57-S57-U57-V57-W57-X57-Z57)</x:f>
      </x:c>
      <x:c r="AB57" s="82" t="str">
        <x:f>IF($C57="","",AA57-Y57)</x:f>
      </x:c>
      <x:c r="AC57" s="83" t="str">
        <x:f>IF(OR($C57="",Q57=0),"n.a.",AB57/Q57)</x:f>
        <x:v>n.a.</x:v>
      </x:c>
      <x:c r="AD57" s="82" t="str">
        <x:f>IF(OR($C57="",L57=0),"n.a.",Y57/L57)</x:f>
        <x:v>n.a.</x:v>
      </x:c>
      <x:c r="AE57" s="82" t="str">
        <x:f>IF(OR($C57="",K57=0),"n.a.",Q57/K57)</x:f>
        <x:v>n.a.</x:v>
      </x:c>
      <x:c r="AF57" s="30"/>
      <x:c r="AG57" s="30"/>
      <x:c r="AH57" s="30"/>
      <x:c r="AI57" s="84" t="str">
        <x:f>IF(OR($C57="",AF57="",AH57="",AVERAGE(AF57,AH57)=0),"n.a.",J57/AVERAGE(AF57,AH57))</x:f>
        <x:v>n.a.</x:v>
      </x:c>
      <x:c r="AJ57" s="84" t="str">
        <x:f>IF(OR($C57="",J57=0,AH57=""),"n.a.",AH57/(J57/4.33))</x:f>
        <x:v>n.a.</x:v>
      </x:c>
      <x:c r="AK57" s="29"/>
      <x:c r="AL57" s="30"/>
      <x:c r="AM57" s="30"/>
      <x:c r="AN57" s="82" t="str">
        <x:f>IF(OR($C57="",AL57="",NOT(ISNUMBER(AC57))),"",AL57*AC57-AM57)</x:f>
      </x:c>
      <x:c r="AO57" s="261"/>
      <x:c r="AP57" s="261"/>
    </x:row>
    <x:row r="58" ht="15" hidden="0" customHeight="1">
      <x:c r="A58" s="22"/>
      <x:c r="B58" s="81"/>
      <x:c r="C58" s="22"/>
      <x:c r="D58" s="261"/>
      <x:c r="E58" s="261"/>
      <x:c r="F58" s="261"/>
      <x:c r="G58" s="22"/>
      <x:c r="H58" s="22"/>
      <x:c r="I58" s="22"/>
      <x:c r="J58" s="30"/>
      <x:c r="K58" s="30"/>
      <x:c r="L58" s="30"/>
      <x:c r="M58" s="30"/>
      <x:c r="N58" s="30"/>
      <x:c r="O58" s="30"/>
      <x:c r="P58" s="82" t="str">
        <x:f>IF(OR($C58="",$J58="",$M58=""),"",J58*M58)</x:f>
      </x:c>
      <x:c r="Q58" s="82" t="str">
        <x:f>IF(P58="","",P58-N58-O58)</x:f>
      </x:c>
      <x:c r="R58" s="30"/>
      <x:c r="S58" s="82" t="str">
        <x:f>IF(OR($C58="",$J58="",$R58=""),"",J58*R58)</x:f>
      </x:c>
      <x:c r="T58" s="31"/>
      <x:c r="U58" s="82" t="str">
        <x:f>IF(OR($C58="",$Q58="",$T58=""),"",Q58*T58)</x:f>
      </x:c>
      <x:c r="V58" s="30"/>
      <x:c r="W58" s="30"/>
      <x:c r="X58" s="30"/>
      <x:c r="Y58" s="30"/>
      <x:c r="Z58" s="30"/>
      <x:c r="AA58" s="82" t="str">
        <x:f>IF($C58="","",Q58-S58-U58-V58-W58-X58-Z58)</x:f>
      </x:c>
      <x:c r="AB58" s="82" t="str">
        <x:f>IF($C58="","",AA58-Y58)</x:f>
      </x:c>
      <x:c r="AC58" s="83" t="str">
        <x:f>IF(OR($C58="",Q58=0),"n.a.",AB58/Q58)</x:f>
        <x:v>n.a.</x:v>
      </x:c>
      <x:c r="AD58" s="82" t="str">
        <x:f>IF(OR($C58="",L58=0),"n.a.",Y58/L58)</x:f>
        <x:v>n.a.</x:v>
      </x:c>
      <x:c r="AE58" s="82" t="str">
        <x:f>IF(OR($C58="",K58=0),"n.a.",Q58/K58)</x:f>
        <x:v>n.a.</x:v>
      </x:c>
      <x:c r="AF58" s="30"/>
      <x:c r="AG58" s="30"/>
      <x:c r="AH58" s="30"/>
      <x:c r="AI58" s="84" t="str">
        <x:f>IF(OR($C58="",AF58="",AH58="",AVERAGE(AF58,AH58)=0),"n.a.",J58/AVERAGE(AF58,AH58))</x:f>
        <x:v>n.a.</x:v>
      </x:c>
      <x:c r="AJ58" s="84" t="str">
        <x:f>IF(OR($C58="",J58=0,AH58=""),"n.a.",AH58/(J58/4.33))</x:f>
        <x:v>n.a.</x:v>
      </x:c>
      <x:c r="AK58" s="29"/>
      <x:c r="AL58" s="30"/>
      <x:c r="AM58" s="30"/>
      <x:c r="AN58" s="82" t="str">
        <x:f>IF(OR($C58="",AL58="",NOT(ISNUMBER(AC58))),"",AL58*AC58-AM58)</x:f>
      </x:c>
      <x:c r="AO58" s="261"/>
      <x:c r="AP58" s="261"/>
    </x:row>
    <x:row r="59" ht="15" hidden="0" customHeight="1">
      <x:c r="A59" s="22"/>
      <x:c r="B59" s="81"/>
      <x:c r="C59" s="22"/>
      <x:c r="D59" s="261"/>
      <x:c r="E59" s="261"/>
      <x:c r="F59" s="261"/>
      <x:c r="G59" s="22"/>
      <x:c r="H59" s="22"/>
      <x:c r="I59" s="22"/>
      <x:c r="J59" s="30"/>
      <x:c r="K59" s="30"/>
      <x:c r="L59" s="30"/>
      <x:c r="M59" s="30"/>
      <x:c r="N59" s="30"/>
      <x:c r="O59" s="30"/>
      <x:c r="P59" s="82" t="str">
        <x:f>IF(OR($C59="",$J59="",$M59=""),"",J59*M59)</x:f>
      </x:c>
      <x:c r="Q59" s="82" t="str">
        <x:f>IF(P59="","",P59-N59-O59)</x:f>
      </x:c>
      <x:c r="R59" s="30"/>
      <x:c r="S59" s="82" t="str">
        <x:f>IF(OR($C59="",$J59="",$R59=""),"",J59*R59)</x:f>
      </x:c>
      <x:c r="T59" s="31"/>
      <x:c r="U59" s="82" t="str">
        <x:f>IF(OR($C59="",$Q59="",$T59=""),"",Q59*T59)</x:f>
      </x:c>
      <x:c r="V59" s="30"/>
      <x:c r="W59" s="30"/>
      <x:c r="X59" s="30"/>
      <x:c r="Y59" s="30"/>
      <x:c r="Z59" s="30"/>
      <x:c r="AA59" s="82" t="str">
        <x:f>IF($C59="","",Q59-S59-U59-V59-W59-X59-Z59)</x:f>
      </x:c>
      <x:c r="AB59" s="82" t="str">
        <x:f>IF($C59="","",AA59-Y59)</x:f>
      </x:c>
      <x:c r="AC59" s="83" t="str">
        <x:f>IF(OR($C59="",Q59=0),"n.a.",AB59/Q59)</x:f>
        <x:v>n.a.</x:v>
      </x:c>
      <x:c r="AD59" s="82" t="str">
        <x:f>IF(OR($C59="",L59=0),"n.a.",Y59/L59)</x:f>
        <x:v>n.a.</x:v>
      </x:c>
      <x:c r="AE59" s="82" t="str">
        <x:f>IF(OR($C59="",K59=0),"n.a.",Q59/K59)</x:f>
        <x:v>n.a.</x:v>
      </x:c>
      <x:c r="AF59" s="30"/>
      <x:c r="AG59" s="30"/>
      <x:c r="AH59" s="30"/>
      <x:c r="AI59" s="84" t="str">
        <x:f>IF(OR($C59="",AF59="",AH59="",AVERAGE(AF59,AH59)=0),"n.a.",J59/AVERAGE(AF59,AH59))</x:f>
        <x:v>n.a.</x:v>
      </x:c>
      <x:c r="AJ59" s="84" t="str">
        <x:f>IF(OR($C59="",J59=0,AH59=""),"n.a.",AH59/(J59/4.33))</x:f>
        <x:v>n.a.</x:v>
      </x:c>
      <x:c r="AK59" s="29"/>
      <x:c r="AL59" s="30"/>
      <x:c r="AM59" s="30"/>
      <x:c r="AN59" s="82" t="str">
        <x:f>IF(OR($C59="",AL59="",NOT(ISNUMBER(AC59))),"",AL59*AC59-AM59)</x:f>
      </x:c>
      <x:c r="AO59" s="261"/>
      <x:c r="AP59" s="261"/>
    </x:row>
    <x:row r="60" ht="15" hidden="0" customHeight="1">
      <x:c r="A60" s="22"/>
      <x:c r="B60" s="81"/>
      <x:c r="C60" s="22"/>
      <x:c r="D60" s="261"/>
      <x:c r="E60" s="261"/>
      <x:c r="F60" s="261"/>
      <x:c r="G60" s="22"/>
      <x:c r="H60" s="22"/>
      <x:c r="I60" s="22"/>
      <x:c r="J60" s="30"/>
      <x:c r="K60" s="30"/>
      <x:c r="L60" s="30"/>
      <x:c r="M60" s="30"/>
      <x:c r="N60" s="30"/>
      <x:c r="O60" s="30"/>
      <x:c r="P60" s="82" t="str">
        <x:f>IF(OR($C60="",$J60="",$M60=""),"",J60*M60)</x:f>
      </x:c>
      <x:c r="Q60" s="82" t="str">
        <x:f>IF(P60="","",P60-N60-O60)</x:f>
      </x:c>
      <x:c r="R60" s="30"/>
      <x:c r="S60" s="82" t="str">
        <x:f>IF(OR($C60="",$J60="",$R60=""),"",J60*R60)</x:f>
      </x:c>
      <x:c r="T60" s="31"/>
      <x:c r="U60" s="82" t="str">
        <x:f>IF(OR($C60="",$Q60="",$T60=""),"",Q60*T60)</x:f>
      </x:c>
      <x:c r="V60" s="30"/>
      <x:c r="W60" s="30"/>
      <x:c r="X60" s="30"/>
      <x:c r="Y60" s="30"/>
      <x:c r="Z60" s="30"/>
      <x:c r="AA60" s="82" t="str">
        <x:f>IF($C60="","",Q60-S60-U60-V60-W60-X60-Z60)</x:f>
      </x:c>
      <x:c r="AB60" s="82" t="str">
        <x:f>IF($C60="","",AA60-Y60)</x:f>
      </x:c>
      <x:c r="AC60" s="83" t="str">
        <x:f>IF(OR($C60="",Q60=0),"n.a.",AB60/Q60)</x:f>
        <x:v>n.a.</x:v>
      </x:c>
      <x:c r="AD60" s="82" t="str">
        <x:f>IF(OR($C60="",L60=0),"n.a.",Y60/L60)</x:f>
        <x:v>n.a.</x:v>
      </x:c>
      <x:c r="AE60" s="82" t="str">
        <x:f>IF(OR($C60="",K60=0),"n.a.",Q60/K60)</x:f>
        <x:v>n.a.</x:v>
      </x:c>
      <x:c r="AF60" s="30"/>
      <x:c r="AG60" s="30"/>
      <x:c r="AH60" s="30"/>
      <x:c r="AI60" s="84" t="str">
        <x:f>IF(OR($C60="",AF60="",AH60="",AVERAGE(AF60,AH60)=0),"n.a.",J60/AVERAGE(AF60,AH60))</x:f>
        <x:v>n.a.</x:v>
      </x:c>
      <x:c r="AJ60" s="84" t="str">
        <x:f>IF(OR($C60="",J60=0,AH60=""),"n.a.",AH60/(J60/4.33))</x:f>
        <x:v>n.a.</x:v>
      </x:c>
      <x:c r="AK60" s="29"/>
      <x:c r="AL60" s="30"/>
      <x:c r="AM60" s="30"/>
      <x:c r="AN60" s="82" t="str">
        <x:f>IF(OR($C60="",AL60="",NOT(ISNUMBER(AC60))),"",AL60*AC60-AM60)</x:f>
      </x:c>
      <x:c r="AO60" s="261"/>
      <x:c r="AP60" s="261"/>
    </x:row>
    <x:row r="61" ht="15" hidden="0" customHeight="1">
      <x:c r="A61" s="22"/>
      <x:c r="B61" s="81"/>
      <x:c r="C61" s="22"/>
      <x:c r="D61" s="261"/>
      <x:c r="E61" s="261"/>
      <x:c r="F61" s="261"/>
      <x:c r="G61" s="22"/>
      <x:c r="H61" s="22"/>
      <x:c r="I61" s="22"/>
      <x:c r="J61" s="30"/>
      <x:c r="K61" s="30"/>
      <x:c r="L61" s="30"/>
      <x:c r="M61" s="30"/>
      <x:c r="N61" s="30"/>
      <x:c r="O61" s="30"/>
      <x:c r="P61" s="82" t="str">
        <x:f>IF(OR($C61="",$J61="",$M61=""),"",J61*M61)</x:f>
      </x:c>
      <x:c r="Q61" s="82" t="str">
        <x:f>IF(P61="","",P61-N61-O61)</x:f>
      </x:c>
      <x:c r="R61" s="30"/>
      <x:c r="S61" s="82" t="str">
        <x:f>IF(OR($C61="",$J61="",$R61=""),"",J61*R61)</x:f>
      </x:c>
      <x:c r="T61" s="31"/>
      <x:c r="U61" s="82" t="str">
        <x:f>IF(OR($C61="",$Q61="",$T61=""),"",Q61*T61)</x:f>
      </x:c>
      <x:c r="V61" s="30"/>
      <x:c r="W61" s="30"/>
      <x:c r="X61" s="30"/>
      <x:c r="Y61" s="30"/>
      <x:c r="Z61" s="30"/>
      <x:c r="AA61" s="82" t="str">
        <x:f>IF($C61="","",Q61-S61-U61-V61-W61-X61-Z61)</x:f>
      </x:c>
      <x:c r="AB61" s="82" t="str">
        <x:f>IF($C61="","",AA61-Y61)</x:f>
      </x:c>
      <x:c r="AC61" s="83" t="str">
        <x:f>IF(OR($C61="",Q61=0),"n.a.",AB61/Q61)</x:f>
        <x:v>n.a.</x:v>
      </x:c>
      <x:c r="AD61" s="82" t="str">
        <x:f>IF(OR($C61="",L61=0),"n.a.",Y61/L61)</x:f>
        <x:v>n.a.</x:v>
      </x:c>
      <x:c r="AE61" s="82" t="str">
        <x:f>IF(OR($C61="",K61=0),"n.a.",Q61/K61)</x:f>
        <x:v>n.a.</x:v>
      </x:c>
      <x:c r="AF61" s="30"/>
      <x:c r="AG61" s="30"/>
      <x:c r="AH61" s="30"/>
      <x:c r="AI61" s="84" t="str">
        <x:f>IF(OR($C61="",AF61="",AH61="",AVERAGE(AF61,AH61)=0),"n.a.",J61/AVERAGE(AF61,AH61))</x:f>
        <x:v>n.a.</x:v>
      </x:c>
      <x:c r="AJ61" s="84" t="str">
        <x:f>IF(OR($C61="",J61=0,AH61=""),"n.a.",AH61/(J61/4.33))</x:f>
        <x:v>n.a.</x:v>
      </x:c>
      <x:c r="AK61" s="29"/>
      <x:c r="AL61" s="30"/>
      <x:c r="AM61" s="30"/>
      <x:c r="AN61" s="82" t="str">
        <x:f>IF(OR($C61="",AL61="",NOT(ISNUMBER(AC61))),"",AL61*AC61-AM61)</x:f>
      </x:c>
      <x:c r="AO61" s="261"/>
      <x:c r="AP61" s="261"/>
    </x:row>
    <x:row r="62" ht="15" hidden="0" customHeight="1">
      <x:c r="A62" s="22"/>
      <x:c r="B62" s="81"/>
      <x:c r="C62" s="22"/>
      <x:c r="D62" s="261"/>
      <x:c r="E62" s="261"/>
      <x:c r="F62" s="261"/>
      <x:c r="G62" s="22"/>
      <x:c r="H62" s="22"/>
      <x:c r="I62" s="22"/>
      <x:c r="J62" s="30"/>
      <x:c r="K62" s="30"/>
      <x:c r="L62" s="30"/>
      <x:c r="M62" s="30"/>
      <x:c r="N62" s="30"/>
      <x:c r="O62" s="30"/>
      <x:c r="P62" s="82" t="str">
        <x:f>IF(OR($C62="",$J62="",$M62=""),"",J62*M62)</x:f>
      </x:c>
      <x:c r="Q62" s="82" t="str">
        <x:f>IF(P62="","",P62-N62-O62)</x:f>
      </x:c>
      <x:c r="R62" s="30"/>
      <x:c r="S62" s="82" t="str">
        <x:f>IF(OR($C62="",$J62="",$R62=""),"",J62*R62)</x:f>
      </x:c>
      <x:c r="T62" s="31"/>
      <x:c r="U62" s="82" t="str">
        <x:f>IF(OR($C62="",$Q62="",$T62=""),"",Q62*T62)</x:f>
      </x:c>
      <x:c r="V62" s="30"/>
      <x:c r="W62" s="30"/>
      <x:c r="X62" s="30"/>
      <x:c r="Y62" s="30"/>
      <x:c r="Z62" s="30"/>
      <x:c r="AA62" s="82" t="str">
        <x:f>IF($C62="","",Q62-S62-U62-V62-W62-X62-Z62)</x:f>
      </x:c>
      <x:c r="AB62" s="82" t="str">
        <x:f>IF($C62="","",AA62-Y62)</x:f>
      </x:c>
      <x:c r="AC62" s="83" t="str">
        <x:f>IF(OR($C62="",Q62=0),"n.a.",AB62/Q62)</x:f>
        <x:v>n.a.</x:v>
      </x:c>
      <x:c r="AD62" s="82" t="str">
        <x:f>IF(OR($C62="",L62=0),"n.a.",Y62/L62)</x:f>
        <x:v>n.a.</x:v>
      </x:c>
      <x:c r="AE62" s="82" t="str">
        <x:f>IF(OR($C62="",K62=0),"n.a.",Q62/K62)</x:f>
        <x:v>n.a.</x:v>
      </x:c>
      <x:c r="AF62" s="30"/>
      <x:c r="AG62" s="30"/>
      <x:c r="AH62" s="30"/>
      <x:c r="AI62" s="84" t="str">
        <x:f>IF(OR($C62="",AF62="",AH62="",AVERAGE(AF62,AH62)=0),"n.a.",J62/AVERAGE(AF62,AH62))</x:f>
        <x:v>n.a.</x:v>
      </x:c>
      <x:c r="AJ62" s="84" t="str">
        <x:f>IF(OR($C62="",J62=0,AH62=""),"n.a.",AH62/(J62/4.33))</x:f>
        <x:v>n.a.</x:v>
      </x:c>
      <x:c r="AK62" s="29"/>
      <x:c r="AL62" s="30"/>
      <x:c r="AM62" s="30"/>
      <x:c r="AN62" s="82" t="str">
        <x:f>IF(OR($C62="",AL62="",NOT(ISNUMBER(AC62))),"",AL62*AC62-AM62)</x:f>
      </x:c>
      <x:c r="AO62" s="261"/>
      <x:c r="AP62" s="261"/>
    </x:row>
    <x:row r="63" ht="15" hidden="0" customHeight="1">
      <x:c r="A63" s="22"/>
      <x:c r="B63" s="81"/>
      <x:c r="C63" s="22"/>
      <x:c r="D63" s="261"/>
      <x:c r="E63" s="261"/>
      <x:c r="F63" s="261"/>
      <x:c r="G63" s="22"/>
      <x:c r="H63" s="22"/>
      <x:c r="I63" s="22"/>
      <x:c r="J63" s="30"/>
      <x:c r="K63" s="30"/>
      <x:c r="L63" s="30"/>
      <x:c r="M63" s="30"/>
      <x:c r="N63" s="30"/>
      <x:c r="O63" s="30"/>
      <x:c r="P63" s="82" t="str">
        <x:f>IF(OR($C63="",$J63="",$M63=""),"",J63*M63)</x:f>
      </x:c>
      <x:c r="Q63" s="82" t="str">
        <x:f>IF(P63="","",P63-N63-O63)</x:f>
      </x:c>
      <x:c r="R63" s="30"/>
      <x:c r="S63" s="82" t="str">
        <x:f>IF(OR($C63="",$J63="",$R63=""),"",J63*R63)</x:f>
      </x:c>
      <x:c r="T63" s="31"/>
      <x:c r="U63" s="82" t="str">
        <x:f>IF(OR($C63="",$Q63="",$T63=""),"",Q63*T63)</x:f>
      </x:c>
      <x:c r="V63" s="30"/>
      <x:c r="W63" s="30"/>
      <x:c r="X63" s="30"/>
      <x:c r="Y63" s="30"/>
      <x:c r="Z63" s="30"/>
      <x:c r="AA63" s="82" t="str">
        <x:f>IF($C63="","",Q63-S63-U63-V63-W63-X63-Z63)</x:f>
      </x:c>
      <x:c r="AB63" s="82" t="str">
        <x:f>IF($C63="","",AA63-Y63)</x:f>
      </x:c>
      <x:c r="AC63" s="83" t="str">
        <x:f>IF(OR($C63="",Q63=0),"n.a.",AB63/Q63)</x:f>
        <x:v>n.a.</x:v>
      </x:c>
      <x:c r="AD63" s="82" t="str">
        <x:f>IF(OR($C63="",L63=0),"n.a.",Y63/L63)</x:f>
        <x:v>n.a.</x:v>
      </x:c>
      <x:c r="AE63" s="82" t="str">
        <x:f>IF(OR($C63="",K63=0),"n.a.",Q63/K63)</x:f>
        <x:v>n.a.</x:v>
      </x:c>
      <x:c r="AF63" s="30"/>
      <x:c r="AG63" s="30"/>
      <x:c r="AH63" s="30"/>
      <x:c r="AI63" s="84" t="str">
        <x:f>IF(OR($C63="",AF63="",AH63="",AVERAGE(AF63,AH63)=0),"n.a.",J63/AVERAGE(AF63,AH63))</x:f>
        <x:v>n.a.</x:v>
      </x:c>
      <x:c r="AJ63" s="84" t="str">
        <x:f>IF(OR($C63="",J63=0,AH63=""),"n.a.",AH63/(J63/4.33))</x:f>
        <x:v>n.a.</x:v>
      </x:c>
      <x:c r="AK63" s="29"/>
      <x:c r="AL63" s="30"/>
      <x:c r="AM63" s="30"/>
      <x:c r="AN63" s="82" t="str">
        <x:f>IF(OR($C63="",AL63="",NOT(ISNUMBER(AC63))),"",AL63*AC63-AM63)</x:f>
      </x:c>
      <x:c r="AO63" s="261"/>
      <x:c r="AP63" s="261"/>
    </x:row>
    <x:row r="64" ht="15" hidden="0" customHeight="1">
      <x:c r="A64" s="22"/>
      <x:c r="B64" s="81"/>
      <x:c r="C64" s="22"/>
      <x:c r="D64" s="261"/>
      <x:c r="E64" s="261"/>
      <x:c r="F64" s="261"/>
      <x:c r="G64" s="22"/>
      <x:c r="H64" s="22"/>
      <x:c r="I64" s="22"/>
      <x:c r="J64" s="30"/>
      <x:c r="K64" s="30"/>
      <x:c r="L64" s="30"/>
      <x:c r="M64" s="30"/>
      <x:c r="N64" s="30"/>
      <x:c r="O64" s="30"/>
      <x:c r="P64" s="82" t="str">
        <x:f>IF(OR($C64="",$J64="",$M64=""),"",J64*M64)</x:f>
      </x:c>
      <x:c r="Q64" s="82" t="str">
        <x:f>IF(P64="","",P64-N64-O64)</x:f>
      </x:c>
      <x:c r="R64" s="30"/>
      <x:c r="S64" s="82" t="str">
        <x:f>IF(OR($C64="",$J64="",$R64=""),"",J64*R64)</x:f>
      </x:c>
      <x:c r="T64" s="31"/>
      <x:c r="U64" s="82" t="str">
        <x:f>IF(OR($C64="",$Q64="",$T64=""),"",Q64*T64)</x:f>
      </x:c>
      <x:c r="V64" s="30"/>
      <x:c r="W64" s="30"/>
      <x:c r="X64" s="30"/>
      <x:c r="Y64" s="30"/>
      <x:c r="Z64" s="30"/>
      <x:c r="AA64" s="82" t="str">
        <x:f>IF($C64="","",Q64-S64-U64-V64-W64-X64-Z64)</x:f>
      </x:c>
      <x:c r="AB64" s="82" t="str">
        <x:f>IF($C64="","",AA64-Y64)</x:f>
      </x:c>
      <x:c r="AC64" s="83" t="str">
        <x:f>IF(OR($C64="",Q64=0),"n.a.",AB64/Q64)</x:f>
        <x:v>n.a.</x:v>
      </x:c>
      <x:c r="AD64" s="82" t="str">
        <x:f>IF(OR($C64="",L64=0),"n.a.",Y64/L64)</x:f>
        <x:v>n.a.</x:v>
      </x:c>
      <x:c r="AE64" s="82" t="str">
        <x:f>IF(OR($C64="",K64=0),"n.a.",Q64/K64)</x:f>
        <x:v>n.a.</x:v>
      </x:c>
      <x:c r="AF64" s="30"/>
      <x:c r="AG64" s="30"/>
      <x:c r="AH64" s="30"/>
      <x:c r="AI64" s="84" t="str">
        <x:f>IF(OR($C64="",AF64="",AH64="",AVERAGE(AF64,AH64)=0),"n.a.",J64/AVERAGE(AF64,AH64))</x:f>
        <x:v>n.a.</x:v>
      </x:c>
      <x:c r="AJ64" s="84" t="str">
        <x:f>IF(OR($C64="",J64=0,AH64=""),"n.a.",AH64/(J64/4.33))</x:f>
        <x:v>n.a.</x:v>
      </x:c>
      <x:c r="AK64" s="29"/>
      <x:c r="AL64" s="30"/>
      <x:c r="AM64" s="30"/>
      <x:c r="AN64" s="82" t="str">
        <x:f>IF(OR($C64="",AL64="",NOT(ISNUMBER(AC64))),"",AL64*AC64-AM64)</x:f>
      </x:c>
      <x:c r="AO64" s="261"/>
      <x:c r="AP64" s="261"/>
    </x:row>
    <x:row r="65" ht="15" hidden="0" customHeight="1">
      <x:c r="A65" s="22"/>
      <x:c r="B65" s="81"/>
      <x:c r="C65" s="22"/>
      <x:c r="D65" s="261"/>
      <x:c r="E65" s="261"/>
      <x:c r="F65" s="261"/>
      <x:c r="G65" s="22"/>
      <x:c r="H65" s="22"/>
      <x:c r="I65" s="22"/>
      <x:c r="J65" s="30"/>
      <x:c r="K65" s="30"/>
      <x:c r="L65" s="30"/>
      <x:c r="M65" s="30"/>
      <x:c r="N65" s="30"/>
      <x:c r="O65" s="30"/>
      <x:c r="P65" s="82" t="str">
        <x:f>IF(OR($C65="",$J65="",$M65=""),"",J65*M65)</x:f>
      </x:c>
      <x:c r="Q65" s="82" t="str">
        <x:f>IF(P65="","",P65-N65-O65)</x:f>
      </x:c>
      <x:c r="R65" s="30"/>
      <x:c r="S65" s="82" t="str">
        <x:f>IF(OR($C65="",$J65="",$R65=""),"",J65*R65)</x:f>
      </x:c>
      <x:c r="T65" s="31"/>
      <x:c r="U65" s="82" t="str">
        <x:f>IF(OR($C65="",$Q65="",$T65=""),"",Q65*T65)</x:f>
      </x:c>
      <x:c r="V65" s="30"/>
      <x:c r="W65" s="30"/>
      <x:c r="X65" s="30"/>
      <x:c r="Y65" s="30"/>
      <x:c r="Z65" s="30"/>
      <x:c r="AA65" s="82" t="str">
        <x:f>IF($C65="","",Q65-S65-U65-V65-W65-X65-Z65)</x:f>
      </x:c>
      <x:c r="AB65" s="82" t="str">
        <x:f>IF($C65="","",AA65-Y65)</x:f>
      </x:c>
      <x:c r="AC65" s="83" t="str">
        <x:f>IF(OR($C65="",Q65=0),"n.a.",AB65/Q65)</x:f>
        <x:v>n.a.</x:v>
      </x:c>
      <x:c r="AD65" s="82" t="str">
        <x:f>IF(OR($C65="",L65=0),"n.a.",Y65/L65)</x:f>
        <x:v>n.a.</x:v>
      </x:c>
      <x:c r="AE65" s="82" t="str">
        <x:f>IF(OR($C65="",K65=0),"n.a.",Q65/K65)</x:f>
        <x:v>n.a.</x:v>
      </x:c>
      <x:c r="AF65" s="30"/>
      <x:c r="AG65" s="30"/>
      <x:c r="AH65" s="30"/>
      <x:c r="AI65" s="84" t="str">
        <x:f>IF(OR($C65="",AF65="",AH65="",AVERAGE(AF65,AH65)=0),"n.a.",J65/AVERAGE(AF65,AH65))</x:f>
        <x:v>n.a.</x:v>
      </x:c>
      <x:c r="AJ65" s="84" t="str">
        <x:f>IF(OR($C65="",J65=0,AH65=""),"n.a.",AH65/(J65/4.33))</x:f>
        <x:v>n.a.</x:v>
      </x:c>
      <x:c r="AK65" s="29"/>
      <x:c r="AL65" s="30"/>
      <x:c r="AM65" s="30"/>
      <x:c r="AN65" s="82" t="str">
        <x:f>IF(OR($C65="",AL65="",NOT(ISNUMBER(AC65))),"",AL65*AC65-AM65)</x:f>
      </x:c>
      <x:c r="AO65" s="261"/>
      <x:c r="AP65" s="261"/>
    </x:row>
    <x:row r="66" ht="15" hidden="0" customHeight="1">
      <x:c r="A66" s="22"/>
      <x:c r="B66" s="81"/>
      <x:c r="C66" s="22"/>
      <x:c r="D66" s="261"/>
      <x:c r="E66" s="261"/>
      <x:c r="F66" s="261"/>
      <x:c r="G66" s="22"/>
      <x:c r="H66" s="22"/>
      <x:c r="I66" s="22"/>
      <x:c r="J66" s="30"/>
      <x:c r="K66" s="30"/>
      <x:c r="L66" s="30"/>
      <x:c r="M66" s="30"/>
      <x:c r="N66" s="30"/>
      <x:c r="O66" s="30"/>
      <x:c r="P66" s="82" t="str">
        <x:f>IF(OR($C66="",$J66="",$M66=""),"",J66*M66)</x:f>
      </x:c>
      <x:c r="Q66" s="82" t="str">
        <x:f>IF(P66="","",P66-N66-O66)</x:f>
      </x:c>
      <x:c r="R66" s="30"/>
      <x:c r="S66" s="82" t="str">
        <x:f>IF(OR($C66="",$J66="",$R66=""),"",J66*R66)</x:f>
      </x:c>
      <x:c r="T66" s="31"/>
      <x:c r="U66" s="82" t="str">
        <x:f>IF(OR($C66="",$Q66="",$T66=""),"",Q66*T66)</x:f>
      </x:c>
      <x:c r="V66" s="30"/>
      <x:c r="W66" s="30"/>
      <x:c r="X66" s="30"/>
      <x:c r="Y66" s="30"/>
      <x:c r="Z66" s="30"/>
      <x:c r="AA66" s="82" t="str">
        <x:f>IF($C66="","",Q66-S66-U66-V66-W66-X66-Z66)</x:f>
      </x:c>
      <x:c r="AB66" s="82" t="str">
        <x:f>IF($C66="","",AA66-Y66)</x:f>
      </x:c>
      <x:c r="AC66" s="83" t="str">
        <x:f>IF(OR($C66="",Q66=0),"n.a.",AB66/Q66)</x:f>
        <x:v>n.a.</x:v>
      </x:c>
      <x:c r="AD66" s="82" t="str">
        <x:f>IF(OR($C66="",L66=0),"n.a.",Y66/L66)</x:f>
        <x:v>n.a.</x:v>
      </x:c>
      <x:c r="AE66" s="82" t="str">
        <x:f>IF(OR($C66="",K66=0),"n.a.",Q66/K66)</x:f>
        <x:v>n.a.</x:v>
      </x:c>
      <x:c r="AF66" s="30"/>
      <x:c r="AG66" s="30"/>
      <x:c r="AH66" s="30"/>
      <x:c r="AI66" s="84" t="str">
        <x:f>IF(OR($C66="",AF66="",AH66="",AVERAGE(AF66,AH66)=0),"n.a.",J66/AVERAGE(AF66,AH66))</x:f>
        <x:v>n.a.</x:v>
      </x:c>
      <x:c r="AJ66" s="84" t="str">
        <x:f>IF(OR($C66="",J66=0,AH66=""),"n.a.",AH66/(J66/4.33))</x:f>
        <x:v>n.a.</x:v>
      </x:c>
      <x:c r="AK66" s="29"/>
      <x:c r="AL66" s="30"/>
      <x:c r="AM66" s="30"/>
      <x:c r="AN66" s="82" t="str">
        <x:f>IF(OR($C66="",AL66="",NOT(ISNUMBER(AC66))),"",AL66*AC66-AM66)</x:f>
      </x:c>
      <x:c r="AO66" s="261"/>
      <x:c r="AP66" s="261"/>
    </x:row>
    <x:row r="67" ht="15" hidden="0" customHeight="1">
      <x:c r="A67" s="22"/>
      <x:c r="B67" s="81"/>
      <x:c r="C67" s="22"/>
      <x:c r="D67" s="261"/>
      <x:c r="E67" s="261"/>
      <x:c r="F67" s="261"/>
      <x:c r="G67" s="22"/>
      <x:c r="H67" s="22"/>
      <x:c r="I67" s="22"/>
      <x:c r="J67" s="30"/>
      <x:c r="K67" s="30"/>
      <x:c r="L67" s="30"/>
      <x:c r="M67" s="30"/>
      <x:c r="N67" s="30"/>
      <x:c r="O67" s="30"/>
      <x:c r="P67" s="82" t="str">
        <x:f>IF(OR($C67="",$J67="",$M67=""),"",J67*M67)</x:f>
      </x:c>
      <x:c r="Q67" s="82" t="str">
        <x:f>IF(P67="","",P67-N67-O67)</x:f>
      </x:c>
      <x:c r="R67" s="30"/>
      <x:c r="S67" s="82" t="str">
        <x:f>IF(OR($C67="",$J67="",$R67=""),"",J67*R67)</x:f>
      </x:c>
      <x:c r="T67" s="31"/>
      <x:c r="U67" s="82" t="str">
        <x:f>IF(OR($C67="",$Q67="",$T67=""),"",Q67*T67)</x:f>
      </x:c>
      <x:c r="V67" s="30"/>
      <x:c r="W67" s="30"/>
      <x:c r="X67" s="30"/>
      <x:c r="Y67" s="30"/>
      <x:c r="Z67" s="30"/>
      <x:c r="AA67" s="82" t="str">
        <x:f>IF($C67="","",Q67-S67-U67-V67-W67-X67-Z67)</x:f>
      </x:c>
      <x:c r="AB67" s="82" t="str">
        <x:f>IF($C67="","",AA67-Y67)</x:f>
      </x:c>
      <x:c r="AC67" s="83" t="str">
        <x:f>IF(OR($C67="",Q67=0),"n.a.",AB67/Q67)</x:f>
        <x:v>n.a.</x:v>
      </x:c>
      <x:c r="AD67" s="82" t="str">
        <x:f>IF(OR($C67="",L67=0),"n.a.",Y67/L67)</x:f>
        <x:v>n.a.</x:v>
      </x:c>
      <x:c r="AE67" s="82" t="str">
        <x:f>IF(OR($C67="",K67=0),"n.a.",Q67/K67)</x:f>
        <x:v>n.a.</x:v>
      </x:c>
      <x:c r="AF67" s="30"/>
      <x:c r="AG67" s="30"/>
      <x:c r="AH67" s="30"/>
      <x:c r="AI67" s="84" t="str">
        <x:f>IF(OR($C67="",AF67="",AH67="",AVERAGE(AF67,AH67)=0),"n.a.",J67/AVERAGE(AF67,AH67))</x:f>
        <x:v>n.a.</x:v>
      </x:c>
      <x:c r="AJ67" s="84" t="str">
        <x:f>IF(OR($C67="",J67=0,AH67=""),"n.a.",AH67/(J67/4.33))</x:f>
        <x:v>n.a.</x:v>
      </x:c>
      <x:c r="AK67" s="29"/>
      <x:c r="AL67" s="30"/>
      <x:c r="AM67" s="30"/>
      <x:c r="AN67" s="82" t="str">
        <x:f>IF(OR($C67="",AL67="",NOT(ISNUMBER(AC67))),"",AL67*AC67-AM67)</x:f>
      </x:c>
      <x:c r="AO67" s="261"/>
      <x:c r="AP67" s="261"/>
    </x:row>
    <x:row r="68" ht="15" hidden="0" customHeight="1">
      <x:c r="A68" s="22"/>
      <x:c r="B68" s="81"/>
      <x:c r="C68" s="22"/>
      <x:c r="D68" s="261"/>
      <x:c r="E68" s="261"/>
      <x:c r="F68" s="261"/>
      <x:c r="G68" s="22"/>
      <x:c r="H68" s="22"/>
      <x:c r="I68" s="22"/>
      <x:c r="J68" s="30"/>
      <x:c r="K68" s="30"/>
      <x:c r="L68" s="30"/>
      <x:c r="M68" s="30"/>
      <x:c r="N68" s="30"/>
      <x:c r="O68" s="30"/>
      <x:c r="P68" s="82" t="str">
        <x:f>IF(OR($C68="",$J68="",$M68=""),"",J68*M68)</x:f>
      </x:c>
      <x:c r="Q68" s="82" t="str">
        <x:f>IF(P68="","",P68-N68-O68)</x:f>
      </x:c>
      <x:c r="R68" s="30"/>
      <x:c r="S68" s="82" t="str">
        <x:f>IF(OR($C68="",$J68="",$R68=""),"",J68*R68)</x:f>
      </x:c>
      <x:c r="T68" s="31"/>
      <x:c r="U68" s="82" t="str">
        <x:f>IF(OR($C68="",$Q68="",$T68=""),"",Q68*T68)</x:f>
      </x:c>
      <x:c r="V68" s="30"/>
      <x:c r="W68" s="30"/>
      <x:c r="X68" s="30"/>
      <x:c r="Y68" s="30"/>
      <x:c r="Z68" s="30"/>
      <x:c r="AA68" s="82" t="str">
        <x:f>IF($C68="","",Q68-S68-U68-V68-W68-X68-Z68)</x:f>
      </x:c>
      <x:c r="AB68" s="82" t="str">
        <x:f>IF($C68="","",AA68-Y68)</x:f>
      </x:c>
      <x:c r="AC68" s="83" t="str">
        <x:f>IF(OR($C68="",Q68=0),"n.a.",AB68/Q68)</x:f>
        <x:v>n.a.</x:v>
      </x:c>
      <x:c r="AD68" s="82" t="str">
        <x:f>IF(OR($C68="",L68=0),"n.a.",Y68/L68)</x:f>
        <x:v>n.a.</x:v>
      </x:c>
      <x:c r="AE68" s="82" t="str">
        <x:f>IF(OR($C68="",K68=0),"n.a.",Q68/K68)</x:f>
        <x:v>n.a.</x:v>
      </x:c>
      <x:c r="AF68" s="30"/>
      <x:c r="AG68" s="30"/>
      <x:c r="AH68" s="30"/>
      <x:c r="AI68" s="84" t="str">
        <x:f>IF(OR($C68="",AF68="",AH68="",AVERAGE(AF68,AH68)=0),"n.a.",J68/AVERAGE(AF68,AH68))</x:f>
        <x:v>n.a.</x:v>
      </x:c>
      <x:c r="AJ68" s="84" t="str">
        <x:f>IF(OR($C68="",J68=0,AH68=""),"n.a.",AH68/(J68/4.33))</x:f>
        <x:v>n.a.</x:v>
      </x:c>
      <x:c r="AK68" s="29"/>
      <x:c r="AL68" s="30"/>
      <x:c r="AM68" s="30"/>
      <x:c r="AN68" s="82" t="str">
        <x:f>IF(OR($C68="",AL68="",NOT(ISNUMBER(AC68))),"",AL68*AC68-AM68)</x:f>
      </x:c>
      <x:c r="AO68" s="261"/>
      <x:c r="AP68" s="261"/>
    </x:row>
    <x:row r="69" ht="15" hidden="0" customHeight="1">
      <x:c r="A69" s="22"/>
      <x:c r="B69" s="81"/>
      <x:c r="C69" s="22"/>
      <x:c r="D69" s="261"/>
      <x:c r="E69" s="261"/>
      <x:c r="F69" s="261"/>
      <x:c r="G69" s="22"/>
      <x:c r="H69" s="22"/>
      <x:c r="I69" s="22"/>
      <x:c r="J69" s="30"/>
      <x:c r="K69" s="30"/>
      <x:c r="L69" s="30"/>
      <x:c r="M69" s="30"/>
      <x:c r="N69" s="30"/>
      <x:c r="O69" s="30"/>
      <x:c r="P69" s="82" t="str">
        <x:f>IF(OR($C69="",$J69="",$M69=""),"",J69*M69)</x:f>
      </x:c>
      <x:c r="Q69" s="82" t="str">
        <x:f>IF(P69="","",P69-N69-O69)</x:f>
      </x:c>
      <x:c r="R69" s="30"/>
      <x:c r="S69" s="82" t="str">
        <x:f>IF(OR($C69="",$J69="",$R69=""),"",J69*R69)</x:f>
      </x:c>
      <x:c r="T69" s="31"/>
      <x:c r="U69" s="82" t="str">
        <x:f>IF(OR($C69="",$Q69="",$T69=""),"",Q69*T69)</x:f>
      </x:c>
      <x:c r="V69" s="30"/>
      <x:c r="W69" s="30"/>
      <x:c r="X69" s="30"/>
      <x:c r="Y69" s="30"/>
      <x:c r="Z69" s="30"/>
      <x:c r="AA69" s="82" t="str">
        <x:f>IF($C69="","",Q69-S69-U69-V69-W69-X69-Z69)</x:f>
      </x:c>
      <x:c r="AB69" s="82" t="str">
        <x:f>IF($C69="","",AA69-Y69)</x:f>
      </x:c>
      <x:c r="AC69" s="83" t="str">
        <x:f>IF(OR($C69="",Q69=0),"n.a.",AB69/Q69)</x:f>
        <x:v>n.a.</x:v>
      </x:c>
      <x:c r="AD69" s="82" t="str">
        <x:f>IF(OR($C69="",L69=0),"n.a.",Y69/L69)</x:f>
        <x:v>n.a.</x:v>
      </x:c>
      <x:c r="AE69" s="82" t="str">
        <x:f>IF(OR($C69="",K69=0),"n.a.",Q69/K69)</x:f>
        <x:v>n.a.</x:v>
      </x:c>
      <x:c r="AF69" s="30"/>
      <x:c r="AG69" s="30"/>
      <x:c r="AH69" s="30"/>
      <x:c r="AI69" s="84" t="str">
        <x:f>IF(OR($C69="",AF69="",AH69="",AVERAGE(AF69,AH69)=0),"n.a.",J69/AVERAGE(AF69,AH69))</x:f>
        <x:v>n.a.</x:v>
      </x:c>
      <x:c r="AJ69" s="84" t="str">
        <x:f>IF(OR($C69="",J69=0,AH69=""),"n.a.",AH69/(J69/4.33))</x:f>
        <x:v>n.a.</x:v>
      </x:c>
      <x:c r="AK69" s="29"/>
      <x:c r="AL69" s="30"/>
      <x:c r="AM69" s="30"/>
      <x:c r="AN69" s="82" t="str">
        <x:f>IF(OR($C69="",AL69="",NOT(ISNUMBER(AC69))),"",AL69*AC69-AM69)</x:f>
      </x:c>
      <x:c r="AO69" s="261"/>
      <x:c r="AP69" s="261"/>
    </x:row>
    <x:row r="70" ht="15" hidden="0" customHeight="1">
      <x:c r="A70" s="22"/>
      <x:c r="B70" s="81"/>
      <x:c r="C70" s="22"/>
      <x:c r="D70" s="261"/>
      <x:c r="E70" s="261"/>
      <x:c r="F70" s="261"/>
      <x:c r="G70" s="22"/>
      <x:c r="H70" s="22"/>
      <x:c r="I70" s="22"/>
      <x:c r="J70" s="30"/>
      <x:c r="K70" s="30"/>
      <x:c r="L70" s="30"/>
      <x:c r="M70" s="30"/>
      <x:c r="N70" s="30"/>
      <x:c r="O70" s="30"/>
      <x:c r="P70" s="82" t="str">
        <x:f>IF(OR($C70="",$J70="",$M70=""),"",J70*M70)</x:f>
      </x:c>
      <x:c r="Q70" s="82" t="str">
        <x:f>IF(P70="","",P70-N70-O70)</x:f>
      </x:c>
      <x:c r="R70" s="30"/>
      <x:c r="S70" s="82" t="str">
        <x:f>IF(OR($C70="",$J70="",$R70=""),"",J70*R70)</x:f>
      </x:c>
      <x:c r="T70" s="31"/>
      <x:c r="U70" s="82" t="str">
        <x:f>IF(OR($C70="",$Q70="",$T70=""),"",Q70*T70)</x:f>
      </x:c>
      <x:c r="V70" s="30"/>
      <x:c r="W70" s="30"/>
      <x:c r="X70" s="30"/>
      <x:c r="Y70" s="30"/>
      <x:c r="Z70" s="30"/>
      <x:c r="AA70" s="82" t="str">
        <x:f>IF($C70="","",Q70-S70-U70-V70-W70-X70-Z70)</x:f>
      </x:c>
      <x:c r="AB70" s="82" t="str">
        <x:f>IF($C70="","",AA70-Y70)</x:f>
      </x:c>
      <x:c r="AC70" s="83" t="str">
        <x:f>IF(OR($C70="",Q70=0),"n.a.",AB70/Q70)</x:f>
        <x:v>n.a.</x:v>
      </x:c>
      <x:c r="AD70" s="82" t="str">
        <x:f>IF(OR($C70="",L70=0),"n.a.",Y70/L70)</x:f>
        <x:v>n.a.</x:v>
      </x:c>
      <x:c r="AE70" s="82" t="str">
        <x:f>IF(OR($C70="",K70=0),"n.a.",Q70/K70)</x:f>
        <x:v>n.a.</x:v>
      </x:c>
      <x:c r="AF70" s="30"/>
      <x:c r="AG70" s="30"/>
      <x:c r="AH70" s="30"/>
      <x:c r="AI70" s="84" t="str">
        <x:f>IF(OR($C70="",AF70="",AH70="",AVERAGE(AF70,AH70)=0),"n.a.",J70/AVERAGE(AF70,AH70))</x:f>
        <x:v>n.a.</x:v>
      </x:c>
      <x:c r="AJ70" s="84" t="str">
        <x:f>IF(OR($C70="",J70=0,AH70=""),"n.a.",AH70/(J70/4.33))</x:f>
        <x:v>n.a.</x:v>
      </x:c>
      <x:c r="AK70" s="29"/>
      <x:c r="AL70" s="30"/>
      <x:c r="AM70" s="30"/>
      <x:c r="AN70" s="82" t="str">
        <x:f>IF(OR($C70="",AL70="",NOT(ISNUMBER(AC70))),"",AL70*AC70-AM70)</x:f>
      </x:c>
      <x:c r="AO70" s="261"/>
      <x:c r="AP70" s="261"/>
    </x:row>
    <x:row r="71" ht="15" hidden="0" customHeight="1">
      <x:c r="A71" s="22"/>
      <x:c r="B71" s="81"/>
      <x:c r="C71" s="22"/>
      <x:c r="D71" s="261"/>
      <x:c r="E71" s="261"/>
      <x:c r="F71" s="261"/>
      <x:c r="G71" s="22"/>
      <x:c r="H71" s="22"/>
      <x:c r="I71" s="22"/>
      <x:c r="J71" s="30"/>
      <x:c r="K71" s="30"/>
      <x:c r="L71" s="30"/>
      <x:c r="M71" s="30"/>
      <x:c r="N71" s="30"/>
      <x:c r="O71" s="30"/>
      <x:c r="P71" s="82" t="str">
        <x:f>IF(OR($C71="",$J71="",$M71=""),"",J71*M71)</x:f>
      </x:c>
      <x:c r="Q71" s="82" t="str">
        <x:f>IF(P71="","",P71-N71-O71)</x:f>
      </x:c>
      <x:c r="R71" s="30"/>
      <x:c r="S71" s="82" t="str">
        <x:f>IF(OR($C71="",$J71="",$R71=""),"",J71*R71)</x:f>
      </x:c>
      <x:c r="T71" s="31"/>
      <x:c r="U71" s="82" t="str">
        <x:f>IF(OR($C71="",$Q71="",$T71=""),"",Q71*T71)</x:f>
      </x:c>
      <x:c r="V71" s="30"/>
      <x:c r="W71" s="30"/>
      <x:c r="X71" s="30"/>
      <x:c r="Y71" s="30"/>
      <x:c r="Z71" s="30"/>
      <x:c r="AA71" s="82" t="str">
        <x:f>IF($C71="","",Q71-S71-U71-V71-W71-X71-Z71)</x:f>
      </x:c>
      <x:c r="AB71" s="82" t="str">
        <x:f>IF($C71="","",AA71-Y71)</x:f>
      </x:c>
      <x:c r="AC71" s="83" t="str">
        <x:f>IF(OR($C71="",Q71=0),"n.a.",AB71/Q71)</x:f>
        <x:v>n.a.</x:v>
      </x:c>
      <x:c r="AD71" s="82" t="str">
        <x:f>IF(OR($C71="",L71=0),"n.a.",Y71/L71)</x:f>
        <x:v>n.a.</x:v>
      </x:c>
      <x:c r="AE71" s="82" t="str">
        <x:f>IF(OR($C71="",K71=0),"n.a.",Q71/K71)</x:f>
        <x:v>n.a.</x:v>
      </x:c>
      <x:c r="AF71" s="30"/>
      <x:c r="AG71" s="30"/>
      <x:c r="AH71" s="30"/>
      <x:c r="AI71" s="84" t="str">
        <x:f>IF(OR($C71="",AF71="",AH71="",AVERAGE(AF71,AH71)=0),"n.a.",J71/AVERAGE(AF71,AH71))</x:f>
        <x:v>n.a.</x:v>
      </x:c>
      <x:c r="AJ71" s="84" t="str">
        <x:f>IF(OR($C71="",J71=0,AH71=""),"n.a.",AH71/(J71/4.33))</x:f>
        <x:v>n.a.</x:v>
      </x:c>
      <x:c r="AK71" s="29"/>
      <x:c r="AL71" s="30"/>
      <x:c r="AM71" s="30"/>
      <x:c r="AN71" s="82" t="str">
        <x:f>IF(OR($C71="",AL71="",NOT(ISNUMBER(AC71))),"",AL71*AC71-AM71)</x:f>
      </x:c>
      <x:c r="AO71" s="261"/>
      <x:c r="AP71" s="261"/>
    </x:row>
    <x:row r="72" ht="15" hidden="0" customHeight="1">
      <x:c r="A72" s="22"/>
      <x:c r="B72" s="81"/>
      <x:c r="C72" s="22"/>
      <x:c r="D72" s="261"/>
      <x:c r="E72" s="261"/>
      <x:c r="F72" s="261"/>
      <x:c r="G72" s="22"/>
      <x:c r="H72" s="22"/>
      <x:c r="I72" s="22"/>
      <x:c r="J72" s="30"/>
      <x:c r="K72" s="30"/>
      <x:c r="L72" s="30"/>
      <x:c r="M72" s="30"/>
      <x:c r="N72" s="30"/>
      <x:c r="O72" s="30"/>
      <x:c r="P72" s="82" t="str">
        <x:f>IF(OR($C72="",$J72="",$M72=""),"",J72*M72)</x:f>
      </x:c>
      <x:c r="Q72" s="82" t="str">
        <x:f>IF(P72="","",P72-N72-O72)</x:f>
      </x:c>
      <x:c r="R72" s="30"/>
      <x:c r="S72" s="82" t="str">
        <x:f>IF(OR($C72="",$J72="",$R72=""),"",J72*R72)</x:f>
      </x:c>
      <x:c r="T72" s="31"/>
      <x:c r="U72" s="82" t="str">
        <x:f>IF(OR($C72="",$Q72="",$T72=""),"",Q72*T72)</x:f>
      </x:c>
      <x:c r="V72" s="30"/>
      <x:c r="W72" s="30"/>
      <x:c r="X72" s="30"/>
      <x:c r="Y72" s="30"/>
      <x:c r="Z72" s="30"/>
      <x:c r="AA72" s="82" t="str">
        <x:f>IF($C72="","",Q72-S72-U72-V72-W72-X72-Z72)</x:f>
      </x:c>
      <x:c r="AB72" s="82" t="str">
        <x:f>IF($C72="","",AA72-Y72)</x:f>
      </x:c>
      <x:c r="AC72" s="83" t="str">
        <x:f>IF(OR($C72="",Q72=0),"n.a.",AB72/Q72)</x:f>
        <x:v>n.a.</x:v>
      </x:c>
      <x:c r="AD72" s="82" t="str">
        <x:f>IF(OR($C72="",L72=0),"n.a.",Y72/L72)</x:f>
        <x:v>n.a.</x:v>
      </x:c>
      <x:c r="AE72" s="82" t="str">
        <x:f>IF(OR($C72="",K72=0),"n.a.",Q72/K72)</x:f>
        <x:v>n.a.</x:v>
      </x:c>
      <x:c r="AF72" s="30"/>
      <x:c r="AG72" s="30"/>
      <x:c r="AH72" s="30"/>
      <x:c r="AI72" s="84" t="str">
        <x:f>IF(OR($C72="",AF72="",AH72="",AVERAGE(AF72,AH72)=0),"n.a.",J72/AVERAGE(AF72,AH72))</x:f>
        <x:v>n.a.</x:v>
      </x:c>
      <x:c r="AJ72" s="84" t="str">
        <x:f>IF(OR($C72="",J72=0,AH72=""),"n.a.",AH72/(J72/4.33))</x:f>
        <x:v>n.a.</x:v>
      </x:c>
      <x:c r="AK72" s="29"/>
      <x:c r="AL72" s="30"/>
      <x:c r="AM72" s="30"/>
      <x:c r="AN72" s="82" t="str">
        <x:f>IF(OR($C72="",AL72="",NOT(ISNUMBER(AC72))),"",AL72*AC72-AM72)</x:f>
      </x:c>
      <x:c r="AO72" s="261"/>
      <x:c r="AP72" s="261"/>
    </x:row>
    <x:row r="73" ht="15" hidden="0" customHeight="1">
      <x:c r="A73" s="22"/>
      <x:c r="B73" s="81"/>
      <x:c r="C73" s="22"/>
      <x:c r="D73" s="261"/>
      <x:c r="E73" s="261"/>
      <x:c r="F73" s="261"/>
      <x:c r="G73" s="22"/>
      <x:c r="H73" s="22"/>
      <x:c r="I73" s="22"/>
      <x:c r="J73" s="30"/>
      <x:c r="K73" s="30"/>
      <x:c r="L73" s="30"/>
      <x:c r="M73" s="30"/>
      <x:c r="N73" s="30"/>
      <x:c r="O73" s="30"/>
      <x:c r="P73" s="82" t="str">
        <x:f>IF(OR($C73="",$J73="",$M73=""),"",J73*M73)</x:f>
      </x:c>
      <x:c r="Q73" s="82" t="str">
        <x:f>IF(P73="","",P73-N73-O73)</x:f>
      </x:c>
      <x:c r="R73" s="30"/>
      <x:c r="S73" s="82" t="str">
        <x:f>IF(OR($C73="",$J73="",$R73=""),"",J73*R73)</x:f>
      </x:c>
      <x:c r="T73" s="31"/>
      <x:c r="U73" s="82" t="str">
        <x:f>IF(OR($C73="",$Q73="",$T73=""),"",Q73*T73)</x:f>
      </x:c>
      <x:c r="V73" s="30"/>
      <x:c r="W73" s="30"/>
      <x:c r="X73" s="30"/>
      <x:c r="Y73" s="30"/>
      <x:c r="Z73" s="30"/>
      <x:c r="AA73" s="82" t="str">
        <x:f>IF($C73="","",Q73-S73-U73-V73-W73-X73-Z73)</x:f>
      </x:c>
      <x:c r="AB73" s="82" t="str">
        <x:f>IF($C73="","",AA73-Y73)</x:f>
      </x:c>
      <x:c r="AC73" s="83" t="str">
        <x:f>IF(OR($C73="",Q73=0),"n.a.",AB73/Q73)</x:f>
        <x:v>n.a.</x:v>
      </x:c>
      <x:c r="AD73" s="82" t="str">
        <x:f>IF(OR($C73="",L73=0),"n.a.",Y73/L73)</x:f>
        <x:v>n.a.</x:v>
      </x:c>
      <x:c r="AE73" s="82" t="str">
        <x:f>IF(OR($C73="",K73=0),"n.a.",Q73/K73)</x:f>
        <x:v>n.a.</x:v>
      </x:c>
      <x:c r="AF73" s="30"/>
      <x:c r="AG73" s="30"/>
      <x:c r="AH73" s="30"/>
      <x:c r="AI73" s="84" t="str">
        <x:f>IF(OR($C73="",AF73="",AH73="",AVERAGE(AF73,AH73)=0),"n.a.",J73/AVERAGE(AF73,AH73))</x:f>
        <x:v>n.a.</x:v>
      </x:c>
      <x:c r="AJ73" s="84" t="str">
        <x:f>IF(OR($C73="",J73=0,AH73=""),"n.a.",AH73/(J73/4.33))</x:f>
        <x:v>n.a.</x:v>
      </x:c>
      <x:c r="AK73" s="29"/>
      <x:c r="AL73" s="30"/>
      <x:c r="AM73" s="30"/>
      <x:c r="AN73" s="82" t="str">
        <x:f>IF(OR($C73="",AL73="",NOT(ISNUMBER(AC73))),"",AL73*AC73-AM73)</x:f>
      </x:c>
      <x:c r="AO73" s="261"/>
      <x:c r="AP73" s="261"/>
    </x:row>
    <x:row r="74" ht="15" hidden="0" customHeight="1">
      <x:c r="A74" s="22"/>
      <x:c r="B74" s="81"/>
      <x:c r="C74" s="22"/>
      <x:c r="D74" s="261"/>
      <x:c r="E74" s="261"/>
      <x:c r="F74" s="261"/>
      <x:c r="G74" s="22"/>
      <x:c r="H74" s="22"/>
      <x:c r="I74" s="22"/>
      <x:c r="J74" s="30"/>
      <x:c r="K74" s="30"/>
      <x:c r="L74" s="30"/>
      <x:c r="M74" s="30"/>
      <x:c r="N74" s="30"/>
      <x:c r="O74" s="30"/>
      <x:c r="P74" s="82" t="str">
        <x:f>IF(OR($C74="",$J74="",$M74=""),"",J74*M74)</x:f>
      </x:c>
      <x:c r="Q74" s="82" t="str">
        <x:f>IF(P74="","",P74-N74-O74)</x:f>
      </x:c>
      <x:c r="R74" s="30"/>
      <x:c r="S74" s="82" t="str">
        <x:f>IF(OR($C74="",$J74="",$R74=""),"",J74*R74)</x:f>
      </x:c>
      <x:c r="T74" s="31"/>
      <x:c r="U74" s="82" t="str">
        <x:f>IF(OR($C74="",$Q74="",$T74=""),"",Q74*T74)</x:f>
      </x:c>
      <x:c r="V74" s="30"/>
      <x:c r="W74" s="30"/>
      <x:c r="X74" s="30"/>
      <x:c r="Y74" s="30"/>
      <x:c r="Z74" s="30"/>
      <x:c r="AA74" s="82" t="str">
        <x:f>IF($C74="","",Q74-S74-U74-V74-W74-X74-Z74)</x:f>
      </x:c>
      <x:c r="AB74" s="82" t="str">
        <x:f>IF($C74="","",AA74-Y74)</x:f>
      </x:c>
      <x:c r="AC74" s="83" t="str">
        <x:f>IF(OR($C74="",Q74=0),"n.a.",AB74/Q74)</x:f>
        <x:v>n.a.</x:v>
      </x:c>
      <x:c r="AD74" s="82" t="str">
        <x:f>IF(OR($C74="",L74=0),"n.a.",Y74/L74)</x:f>
        <x:v>n.a.</x:v>
      </x:c>
      <x:c r="AE74" s="82" t="str">
        <x:f>IF(OR($C74="",K74=0),"n.a.",Q74/K74)</x:f>
        <x:v>n.a.</x:v>
      </x:c>
      <x:c r="AF74" s="30"/>
      <x:c r="AG74" s="30"/>
      <x:c r="AH74" s="30"/>
      <x:c r="AI74" s="84" t="str">
        <x:f>IF(OR($C74="",AF74="",AH74="",AVERAGE(AF74,AH74)=0),"n.a.",J74/AVERAGE(AF74,AH74))</x:f>
        <x:v>n.a.</x:v>
      </x:c>
      <x:c r="AJ74" s="84" t="str">
        <x:f>IF(OR($C74="",J74=0,AH74=""),"n.a.",AH74/(J74/4.33))</x:f>
        <x:v>n.a.</x:v>
      </x:c>
      <x:c r="AK74" s="29"/>
      <x:c r="AL74" s="30"/>
      <x:c r="AM74" s="30"/>
      <x:c r="AN74" s="82" t="str">
        <x:f>IF(OR($C74="",AL74="",NOT(ISNUMBER(AC74))),"",AL74*AC74-AM74)</x:f>
      </x:c>
      <x:c r="AO74" s="261"/>
      <x:c r="AP74" s="261"/>
    </x:row>
    <x:row r="75" ht="15" hidden="0" customHeight="1">
      <x:c r="A75" s="22"/>
      <x:c r="B75" s="81"/>
      <x:c r="C75" s="22"/>
      <x:c r="D75" s="261"/>
      <x:c r="E75" s="261"/>
      <x:c r="F75" s="261"/>
      <x:c r="G75" s="22"/>
      <x:c r="H75" s="22"/>
      <x:c r="I75" s="22"/>
      <x:c r="J75" s="30"/>
      <x:c r="K75" s="30"/>
      <x:c r="L75" s="30"/>
      <x:c r="M75" s="30"/>
      <x:c r="N75" s="30"/>
      <x:c r="O75" s="30"/>
      <x:c r="P75" s="82" t="str">
        <x:f>IF(OR($C75="",$J75="",$M75=""),"",J75*M75)</x:f>
      </x:c>
      <x:c r="Q75" s="82" t="str">
        <x:f>IF(P75="","",P75-N75-O75)</x:f>
      </x:c>
      <x:c r="R75" s="30"/>
      <x:c r="S75" s="82" t="str">
        <x:f>IF(OR($C75="",$J75="",$R75=""),"",J75*R75)</x:f>
      </x:c>
      <x:c r="T75" s="31"/>
      <x:c r="U75" s="82" t="str">
        <x:f>IF(OR($C75="",$Q75="",$T75=""),"",Q75*T75)</x:f>
      </x:c>
      <x:c r="V75" s="30"/>
      <x:c r="W75" s="30"/>
      <x:c r="X75" s="30"/>
      <x:c r="Y75" s="30"/>
      <x:c r="Z75" s="30"/>
      <x:c r="AA75" s="82" t="str">
        <x:f>IF($C75="","",Q75-S75-U75-V75-W75-X75-Z75)</x:f>
      </x:c>
      <x:c r="AB75" s="82" t="str">
        <x:f>IF($C75="","",AA75-Y75)</x:f>
      </x:c>
      <x:c r="AC75" s="83" t="str">
        <x:f>IF(OR($C75="",Q75=0),"n.a.",AB75/Q75)</x:f>
        <x:v>n.a.</x:v>
      </x:c>
      <x:c r="AD75" s="82" t="str">
        <x:f>IF(OR($C75="",L75=0),"n.a.",Y75/L75)</x:f>
        <x:v>n.a.</x:v>
      </x:c>
      <x:c r="AE75" s="82" t="str">
        <x:f>IF(OR($C75="",K75=0),"n.a.",Q75/K75)</x:f>
        <x:v>n.a.</x:v>
      </x:c>
      <x:c r="AF75" s="30"/>
      <x:c r="AG75" s="30"/>
      <x:c r="AH75" s="30"/>
      <x:c r="AI75" s="84" t="str">
        <x:f>IF(OR($C75="",AF75="",AH75="",AVERAGE(AF75,AH75)=0),"n.a.",J75/AVERAGE(AF75,AH75))</x:f>
        <x:v>n.a.</x:v>
      </x:c>
      <x:c r="AJ75" s="84" t="str">
        <x:f>IF(OR($C75="",J75=0,AH75=""),"n.a.",AH75/(J75/4.33))</x:f>
        <x:v>n.a.</x:v>
      </x:c>
      <x:c r="AK75" s="29"/>
      <x:c r="AL75" s="30"/>
      <x:c r="AM75" s="30"/>
      <x:c r="AN75" s="82" t="str">
        <x:f>IF(OR($C75="",AL75="",NOT(ISNUMBER(AC75))),"",AL75*AC75-AM75)</x:f>
      </x:c>
      <x:c r="AO75" s="261"/>
      <x:c r="AP75" s="261"/>
    </x:row>
    <x:row r="76" ht="15" hidden="0" customHeight="1">
      <x:c r="A76" s="22"/>
      <x:c r="B76" s="81"/>
      <x:c r="C76" s="22"/>
      <x:c r="D76" s="261"/>
      <x:c r="E76" s="261"/>
      <x:c r="F76" s="261"/>
      <x:c r="G76" s="22"/>
      <x:c r="H76" s="22"/>
      <x:c r="I76" s="22"/>
      <x:c r="J76" s="30"/>
      <x:c r="K76" s="30"/>
      <x:c r="L76" s="30"/>
      <x:c r="M76" s="30"/>
      <x:c r="N76" s="30"/>
      <x:c r="O76" s="30"/>
      <x:c r="P76" s="82" t="str">
        <x:f>IF(OR($C76="",$J76="",$M76=""),"",J76*M76)</x:f>
      </x:c>
      <x:c r="Q76" s="82" t="str">
        <x:f>IF(P76="","",P76-N76-O76)</x:f>
      </x:c>
      <x:c r="R76" s="30"/>
      <x:c r="S76" s="82" t="str">
        <x:f>IF(OR($C76="",$J76="",$R76=""),"",J76*R76)</x:f>
      </x:c>
      <x:c r="T76" s="31"/>
      <x:c r="U76" s="82" t="str">
        <x:f>IF(OR($C76="",$Q76="",$T76=""),"",Q76*T76)</x:f>
      </x:c>
      <x:c r="V76" s="30"/>
      <x:c r="W76" s="30"/>
      <x:c r="X76" s="30"/>
      <x:c r="Y76" s="30"/>
      <x:c r="Z76" s="30"/>
      <x:c r="AA76" s="82" t="str">
        <x:f>IF($C76="","",Q76-S76-U76-V76-W76-X76-Z76)</x:f>
      </x:c>
      <x:c r="AB76" s="82" t="str">
        <x:f>IF($C76="","",AA76-Y76)</x:f>
      </x:c>
      <x:c r="AC76" s="83" t="str">
        <x:f>IF(OR($C76="",Q76=0),"n.a.",AB76/Q76)</x:f>
        <x:v>n.a.</x:v>
      </x:c>
      <x:c r="AD76" s="82" t="str">
        <x:f>IF(OR($C76="",L76=0),"n.a.",Y76/L76)</x:f>
        <x:v>n.a.</x:v>
      </x:c>
      <x:c r="AE76" s="82" t="str">
        <x:f>IF(OR($C76="",K76=0),"n.a.",Q76/K76)</x:f>
        <x:v>n.a.</x:v>
      </x:c>
      <x:c r="AF76" s="30"/>
      <x:c r="AG76" s="30"/>
      <x:c r="AH76" s="30"/>
      <x:c r="AI76" s="84" t="str">
        <x:f>IF(OR($C76="",AF76="",AH76="",AVERAGE(AF76,AH76)=0),"n.a.",J76/AVERAGE(AF76,AH76))</x:f>
        <x:v>n.a.</x:v>
      </x:c>
      <x:c r="AJ76" s="84" t="str">
        <x:f>IF(OR($C76="",J76=0,AH76=""),"n.a.",AH76/(J76/4.33))</x:f>
        <x:v>n.a.</x:v>
      </x:c>
      <x:c r="AK76" s="29"/>
      <x:c r="AL76" s="30"/>
      <x:c r="AM76" s="30"/>
      <x:c r="AN76" s="82" t="str">
        <x:f>IF(OR($C76="",AL76="",NOT(ISNUMBER(AC76))),"",AL76*AC76-AM76)</x:f>
      </x:c>
      <x:c r="AO76" s="261"/>
      <x:c r="AP76" s="261"/>
    </x:row>
    <x:row r="77" ht="15" hidden="0" customHeight="1">
      <x:c r="A77" s="22"/>
      <x:c r="B77" s="81"/>
      <x:c r="C77" s="22"/>
      <x:c r="D77" s="261"/>
      <x:c r="E77" s="261"/>
      <x:c r="F77" s="261"/>
      <x:c r="G77" s="22"/>
      <x:c r="H77" s="22"/>
      <x:c r="I77" s="22"/>
      <x:c r="J77" s="30"/>
      <x:c r="K77" s="30"/>
      <x:c r="L77" s="30"/>
      <x:c r="M77" s="30"/>
      <x:c r="N77" s="30"/>
      <x:c r="O77" s="30"/>
      <x:c r="P77" s="82" t="str">
        <x:f>IF(OR($C77="",$J77="",$M77=""),"",J77*M77)</x:f>
      </x:c>
      <x:c r="Q77" s="82" t="str">
        <x:f>IF(P77="","",P77-N77-O77)</x:f>
      </x:c>
      <x:c r="R77" s="30"/>
      <x:c r="S77" s="82" t="str">
        <x:f>IF(OR($C77="",$J77="",$R77=""),"",J77*R77)</x:f>
      </x:c>
      <x:c r="T77" s="31"/>
      <x:c r="U77" s="82" t="str">
        <x:f>IF(OR($C77="",$Q77="",$T77=""),"",Q77*T77)</x:f>
      </x:c>
      <x:c r="V77" s="30"/>
      <x:c r="W77" s="30"/>
      <x:c r="X77" s="30"/>
      <x:c r="Y77" s="30"/>
      <x:c r="Z77" s="30"/>
      <x:c r="AA77" s="82" t="str">
        <x:f>IF($C77="","",Q77-S77-U77-V77-W77-X77-Z77)</x:f>
      </x:c>
      <x:c r="AB77" s="82" t="str">
        <x:f>IF($C77="","",AA77-Y77)</x:f>
      </x:c>
      <x:c r="AC77" s="83" t="str">
        <x:f>IF(OR($C77="",Q77=0),"n.a.",AB77/Q77)</x:f>
        <x:v>n.a.</x:v>
      </x:c>
      <x:c r="AD77" s="82" t="str">
        <x:f>IF(OR($C77="",L77=0),"n.a.",Y77/L77)</x:f>
        <x:v>n.a.</x:v>
      </x:c>
      <x:c r="AE77" s="82" t="str">
        <x:f>IF(OR($C77="",K77=0),"n.a.",Q77/K77)</x:f>
        <x:v>n.a.</x:v>
      </x:c>
      <x:c r="AF77" s="30"/>
      <x:c r="AG77" s="30"/>
      <x:c r="AH77" s="30"/>
      <x:c r="AI77" s="84" t="str">
        <x:f>IF(OR($C77="",AF77="",AH77="",AVERAGE(AF77,AH77)=0),"n.a.",J77/AVERAGE(AF77,AH77))</x:f>
        <x:v>n.a.</x:v>
      </x:c>
      <x:c r="AJ77" s="84" t="str">
        <x:f>IF(OR($C77="",J77=0,AH77=""),"n.a.",AH77/(J77/4.33))</x:f>
        <x:v>n.a.</x:v>
      </x:c>
      <x:c r="AK77" s="29"/>
      <x:c r="AL77" s="30"/>
      <x:c r="AM77" s="30"/>
      <x:c r="AN77" s="82" t="str">
        <x:f>IF(OR($C77="",AL77="",NOT(ISNUMBER(AC77))),"",AL77*AC77-AM77)</x:f>
      </x:c>
      <x:c r="AO77" s="261"/>
      <x:c r="AP77" s="261"/>
    </x:row>
    <x:row r="78" ht="15" hidden="0" customHeight="1">
      <x:c r="A78" s="22"/>
      <x:c r="B78" s="81"/>
      <x:c r="C78" s="22"/>
      <x:c r="D78" s="261"/>
      <x:c r="E78" s="261"/>
      <x:c r="F78" s="261"/>
      <x:c r="G78" s="22"/>
      <x:c r="H78" s="22"/>
      <x:c r="I78" s="22"/>
      <x:c r="J78" s="30"/>
      <x:c r="K78" s="30"/>
      <x:c r="L78" s="30"/>
      <x:c r="M78" s="30"/>
      <x:c r="N78" s="30"/>
      <x:c r="O78" s="30"/>
      <x:c r="P78" s="82" t="str">
        <x:f>IF(OR($C78="",$J78="",$M78=""),"",J78*M78)</x:f>
      </x:c>
      <x:c r="Q78" s="82" t="str">
        <x:f>IF(P78="","",P78-N78-O78)</x:f>
      </x:c>
      <x:c r="R78" s="30"/>
      <x:c r="S78" s="82" t="str">
        <x:f>IF(OR($C78="",$J78="",$R78=""),"",J78*R78)</x:f>
      </x:c>
      <x:c r="T78" s="31"/>
      <x:c r="U78" s="82" t="str">
        <x:f>IF(OR($C78="",$Q78="",$T78=""),"",Q78*T78)</x:f>
      </x:c>
      <x:c r="V78" s="30"/>
      <x:c r="W78" s="30"/>
      <x:c r="X78" s="30"/>
      <x:c r="Y78" s="30"/>
      <x:c r="Z78" s="30"/>
      <x:c r="AA78" s="82" t="str">
        <x:f>IF($C78="","",Q78-S78-U78-V78-W78-X78-Z78)</x:f>
      </x:c>
      <x:c r="AB78" s="82" t="str">
        <x:f>IF($C78="","",AA78-Y78)</x:f>
      </x:c>
      <x:c r="AC78" s="83" t="str">
        <x:f>IF(OR($C78="",Q78=0),"n.a.",AB78/Q78)</x:f>
        <x:v>n.a.</x:v>
      </x:c>
      <x:c r="AD78" s="82" t="str">
        <x:f>IF(OR($C78="",L78=0),"n.a.",Y78/L78)</x:f>
        <x:v>n.a.</x:v>
      </x:c>
      <x:c r="AE78" s="82" t="str">
        <x:f>IF(OR($C78="",K78=0),"n.a.",Q78/K78)</x:f>
        <x:v>n.a.</x:v>
      </x:c>
      <x:c r="AF78" s="30"/>
      <x:c r="AG78" s="30"/>
      <x:c r="AH78" s="30"/>
      <x:c r="AI78" s="84" t="str">
        <x:f>IF(OR($C78="",AF78="",AH78="",AVERAGE(AF78,AH78)=0),"n.a.",J78/AVERAGE(AF78,AH78))</x:f>
        <x:v>n.a.</x:v>
      </x:c>
      <x:c r="AJ78" s="84" t="str">
        <x:f>IF(OR($C78="",J78=0,AH78=""),"n.a.",AH78/(J78/4.33))</x:f>
        <x:v>n.a.</x:v>
      </x:c>
      <x:c r="AK78" s="29"/>
      <x:c r="AL78" s="30"/>
      <x:c r="AM78" s="30"/>
      <x:c r="AN78" s="82" t="str">
        <x:f>IF(OR($C78="",AL78="",NOT(ISNUMBER(AC78))),"",AL78*AC78-AM78)</x:f>
      </x:c>
      <x:c r="AO78" s="261"/>
      <x:c r="AP78" s="261"/>
    </x:row>
    <x:row r="79" ht="15" hidden="0" customHeight="1">
      <x:c r="A79" s="22"/>
      <x:c r="B79" s="81"/>
      <x:c r="C79" s="22"/>
      <x:c r="D79" s="261"/>
      <x:c r="E79" s="261"/>
      <x:c r="F79" s="261"/>
      <x:c r="G79" s="22"/>
      <x:c r="H79" s="22"/>
      <x:c r="I79" s="22"/>
      <x:c r="J79" s="30"/>
      <x:c r="K79" s="30"/>
      <x:c r="L79" s="30"/>
      <x:c r="M79" s="30"/>
      <x:c r="N79" s="30"/>
      <x:c r="O79" s="30"/>
      <x:c r="P79" s="82" t="str">
        <x:f>IF(OR($C79="",$J79="",$M79=""),"",J79*M79)</x:f>
      </x:c>
      <x:c r="Q79" s="82" t="str">
        <x:f>IF(P79="","",P79-N79-O79)</x:f>
      </x:c>
      <x:c r="R79" s="30"/>
      <x:c r="S79" s="82" t="str">
        <x:f>IF(OR($C79="",$J79="",$R79=""),"",J79*R79)</x:f>
      </x:c>
      <x:c r="T79" s="31"/>
      <x:c r="U79" s="82" t="str">
        <x:f>IF(OR($C79="",$Q79="",$T79=""),"",Q79*T79)</x:f>
      </x:c>
      <x:c r="V79" s="30"/>
      <x:c r="W79" s="30"/>
      <x:c r="X79" s="30"/>
      <x:c r="Y79" s="30"/>
      <x:c r="Z79" s="30"/>
      <x:c r="AA79" s="82" t="str">
        <x:f>IF($C79="","",Q79-S79-U79-V79-W79-X79-Z79)</x:f>
      </x:c>
      <x:c r="AB79" s="82" t="str">
        <x:f>IF($C79="","",AA79-Y79)</x:f>
      </x:c>
      <x:c r="AC79" s="83" t="str">
        <x:f>IF(OR($C79="",Q79=0),"n.a.",AB79/Q79)</x:f>
        <x:v>n.a.</x:v>
      </x:c>
      <x:c r="AD79" s="82" t="str">
        <x:f>IF(OR($C79="",L79=0),"n.a.",Y79/L79)</x:f>
        <x:v>n.a.</x:v>
      </x:c>
      <x:c r="AE79" s="82" t="str">
        <x:f>IF(OR($C79="",K79=0),"n.a.",Q79/K79)</x:f>
        <x:v>n.a.</x:v>
      </x:c>
      <x:c r="AF79" s="30"/>
      <x:c r="AG79" s="30"/>
      <x:c r="AH79" s="30"/>
      <x:c r="AI79" s="84" t="str">
        <x:f>IF(OR($C79="",AF79="",AH79="",AVERAGE(AF79,AH79)=0),"n.a.",J79/AVERAGE(AF79,AH79))</x:f>
        <x:v>n.a.</x:v>
      </x:c>
      <x:c r="AJ79" s="84" t="str">
        <x:f>IF(OR($C79="",J79=0,AH79=""),"n.a.",AH79/(J79/4.33))</x:f>
        <x:v>n.a.</x:v>
      </x:c>
      <x:c r="AK79" s="29"/>
      <x:c r="AL79" s="30"/>
      <x:c r="AM79" s="30"/>
      <x:c r="AN79" s="82" t="str">
        <x:f>IF(OR($C79="",AL79="",NOT(ISNUMBER(AC79))),"",AL79*AC79-AM79)</x:f>
      </x:c>
      <x:c r="AO79" s="261"/>
      <x:c r="AP79" s="261"/>
    </x:row>
    <x:row r="80" ht="15" hidden="0" customHeight="1">
      <x:c r="A80" s="22"/>
      <x:c r="B80" s="81"/>
      <x:c r="C80" s="22"/>
      <x:c r="D80" s="261"/>
      <x:c r="E80" s="261"/>
      <x:c r="F80" s="261"/>
      <x:c r="G80" s="22"/>
      <x:c r="H80" s="22"/>
      <x:c r="I80" s="22"/>
      <x:c r="J80" s="30"/>
      <x:c r="K80" s="30"/>
      <x:c r="L80" s="30"/>
      <x:c r="M80" s="30"/>
      <x:c r="N80" s="30"/>
      <x:c r="O80" s="30"/>
      <x:c r="P80" s="82" t="str">
        <x:f>IF(OR($C80="",$J80="",$M80=""),"",J80*M80)</x:f>
      </x:c>
      <x:c r="Q80" s="82" t="str">
        <x:f>IF(P80="","",P80-N80-O80)</x:f>
      </x:c>
      <x:c r="R80" s="30"/>
      <x:c r="S80" s="82" t="str">
        <x:f>IF(OR($C80="",$J80="",$R80=""),"",J80*R80)</x:f>
      </x:c>
      <x:c r="T80" s="31"/>
      <x:c r="U80" s="82" t="str">
        <x:f>IF(OR($C80="",$Q80="",$T80=""),"",Q80*T80)</x:f>
      </x:c>
      <x:c r="V80" s="30"/>
      <x:c r="W80" s="30"/>
      <x:c r="X80" s="30"/>
      <x:c r="Y80" s="30"/>
      <x:c r="Z80" s="30"/>
      <x:c r="AA80" s="82" t="str">
        <x:f>IF($C80="","",Q80-S80-U80-V80-W80-X80-Z80)</x:f>
      </x:c>
      <x:c r="AB80" s="82" t="str">
        <x:f>IF($C80="","",AA80-Y80)</x:f>
      </x:c>
      <x:c r="AC80" s="83" t="str">
        <x:f>IF(OR($C80="",Q80=0),"n.a.",AB80/Q80)</x:f>
        <x:v>n.a.</x:v>
      </x:c>
      <x:c r="AD80" s="82" t="str">
        <x:f>IF(OR($C80="",L80=0),"n.a.",Y80/L80)</x:f>
        <x:v>n.a.</x:v>
      </x:c>
      <x:c r="AE80" s="82" t="str">
        <x:f>IF(OR($C80="",K80=0),"n.a.",Q80/K80)</x:f>
        <x:v>n.a.</x:v>
      </x:c>
      <x:c r="AF80" s="30"/>
      <x:c r="AG80" s="30"/>
      <x:c r="AH80" s="30"/>
      <x:c r="AI80" s="84" t="str">
        <x:f>IF(OR($C80="",AF80="",AH80="",AVERAGE(AF80,AH80)=0),"n.a.",J80/AVERAGE(AF80,AH80))</x:f>
        <x:v>n.a.</x:v>
      </x:c>
      <x:c r="AJ80" s="84" t="str">
        <x:f>IF(OR($C80="",J80=0,AH80=""),"n.a.",AH80/(J80/4.33))</x:f>
        <x:v>n.a.</x:v>
      </x:c>
      <x:c r="AK80" s="29"/>
      <x:c r="AL80" s="30"/>
      <x:c r="AM80" s="30"/>
      <x:c r="AN80" s="82" t="str">
        <x:f>IF(OR($C80="",AL80="",NOT(ISNUMBER(AC80))),"",AL80*AC80-AM80)</x:f>
      </x:c>
      <x:c r="AO80" s="261"/>
      <x:c r="AP80" s="261"/>
    </x:row>
    <x:row r="81" ht="15" hidden="0" customHeight="1">
      <x:c r="A81" s="22"/>
      <x:c r="B81" s="81"/>
      <x:c r="C81" s="22"/>
      <x:c r="D81" s="261"/>
      <x:c r="E81" s="261"/>
      <x:c r="F81" s="261"/>
      <x:c r="G81" s="22"/>
      <x:c r="H81" s="22"/>
      <x:c r="I81" s="22"/>
      <x:c r="J81" s="30"/>
      <x:c r="K81" s="30"/>
      <x:c r="L81" s="30"/>
      <x:c r="M81" s="30"/>
      <x:c r="N81" s="30"/>
      <x:c r="O81" s="30"/>
      <x:c r="P81" s="82" t="str">
        <x:f>IF(OR($C81="",$J81="",$M81=""),"",J81*M81)</x:f>
      </x:c>
      <x:c r="Q81" s="82" t="str">
        <x:f>IF(P81="","",P81-N81-O81)</x:f>
      </x:c>
      <x:c r="R81" s="30"/>
      <x:c r="S81" s="82" t="str">
        <x:f>IF(OR($C81="",$J81="",$R81=""),"",J81*R81)</x:f>
      </x:c>
      <x:c r="T81" s="31"/>
      <x:c r="U81" s="82" t="str">
        <x:f>IF(OR($C81="",$Q81="",$T81=""),"",Q81*T81)</x:f>
      </x:c>
      <x:c r="V81" s="30"/>
      <x:c r="W81" s="30"/>
      <x:c r="X81" s="30"/>
      <x:c r="Y81" s="30"/>
      <x:c r="Z81" s="30"/>
      <x:c r="AA81" s="82" t="str">
        <x:f>IF($C81="","",Q81-S81-U81-V81-W81-X81-Z81)</x:f>
      </x:c>
      <x:c r="AB81" s="82" t="str">
        <x:f>IF($C81="","",AA81-Y81)</x:f>
      </x:c>
      <x:c r="AC81" s="83" t="str">
        <x:f>IF(OR($C81="",Q81=0),"n.a.",AB81/Q81)</x:f>
        <x:v>n.a.</x:v>
      </x:c>
      <x:c r="AD81" s="82" t="str">
        <x:f>IF(OR($C81="",L81=0),"n.a.",Y81/L81)</x:f>
        <x:v>n.a.</x:v>
      </x:c>
      <x:c r="AE81" s="82" t="str">
        <x:f>IF(OR($C81="",K81=0),"n.a.",Q81/K81)</x:f>
        <x:v>n.a.</x:v>
      </x:c>
      <x:c r="AF81" s="30"/>
      <x:c r="AG81" s="30"/>
      <x:c r="AH81" s="30"/>
      <x:c r="AI81" s="84" t="str">
        <x:f>IF(OR($C81="",AF81="",AH81="",AVERAGE(AF81,AH81)=0),"n.a.",J81/AVERAGE(AF81,AH81))</x:f>
        <x:v>n.a.</x:v>
      </x:c>
      <x:c r="AJ81" s="84" t="str">
        <x:f>IF(OR($C81="",J81=0,AH81=""),"n.a.",AH81/(J81/4.33))</x:f>
        <x:v>n.a.</x:v>
      </x:c>
      <x:c r="AK81" s="29"/>
      <x:c r="AL81" s="30"/>
      <x:c r="AM81" s="30"/>
      <x:c r="AN81" s="82" t="str">
        <x:f>IF(OR($C81="",AL81="",NOT(ISNUMBER(AC81))),"",AL81*AC81-AM81)</x:f>
      </x:c>
      <x:c r="AO81" s="261"/>
      <x:c r="AP81" s="261"/>
    </x:row>
    <x:row r="82" ht="15" hidden="0" customHeight="1">
      <x:c r="A82" s="22"/>
      <x:c r="B82" s="81"/>
      <x:c r="C82" s="22"/>
      <x:c r="D82" s="261"/>
      <x:c r="E82" s="261"/>
      <x:c r="F82" s="261"/>
      <x:c r="G82" s="22"/>
      <x:c r="H82" s="22"/>
      <x:c r="I82" s="22"/>
      <x:c r="J82" s="30"/>
      <x:c r="K82" s="30"/>
      <x:c r="L82" s="30"/>
      <x:c r="M82" s="30"/>
      <x:c r="N82" s="30"/>
      <x:c r="O82" s="30"/>
      <x:c r="P82" s="82" t="str">
        <x:f>IF(OR($C82="",$J82="",$M82=""),"",J82*M82)</x:f>
      </x:c>
      <x:c r="Q82" s="82" t="str">
        <x:f>IF(P82="","",P82-N82-O82)</x:f>
      </x:c>
      <x:c r="R82" s="30"/>
      <x:c r="S82" s="82" t="str">
        <x:f>IF(OR($C82="",$J82="",$R82=""),"",J82*R82)</x:f>
      </x:c>
      <x:c r="T82" s="31"/>
      <x:c r="U82" s="82" t="str">
        <x:f>IF(OR($C82="",$Q82="",$T82=""),"",Q82*T82)</x:f>
      </x:c>
      <x:c r="V82" s="30"/>
      <x:c r="W82" s="30"/>
      <x:c r="X82" s="30"/>
      <x:c r="Y82" s="30"/>
      <x:c r="Z82" s="30"/>
      <x:c r="AA82" s="82" t="str">
        <x:f>IF($C82="","",Q82-S82-U82-V82-W82-X82-Z82)</x:f>
      </x:c>
      <x:c r="AB82" s="82" t="str">
        <x:f>IF($C82="","",AA82-Y82)</x:f>
      </x:c>
      <x:c r="AC82" s="83" t="str">
        <x:f>IF(OR($C82="",Q82=0),"n.a.",AB82/Q82)</x:f>
        <x:v>n.a.</x:v>
      </x:c>
      <x:c r="AD82" s="82" t="str">
        <x:f>IF(OR($C82="",L82=0),"n.a.",Y82/L82)</x:f>
        <x:v>n.a.</x:v>
      </x:c>
      <x:c r="AE82" s="82" t="str">
        <x:f>IF(OR($C82="",K82=0),"n.a.",Q82/K82)</x:f>
        <x:v>n.a.</x:v>
      </x:c>
      <x:c r="AF82" s="30"/>
      <x:c r="AG82" s="30"/>
      <x:c r="AH82" s="30"/>
      <x:c r="AI82" s="84" t="str">
        <x:f>IF(OR($C82="",AF82="",AH82="",AVERAGE(AF82,AH82)=0),"n.a.",J82/AVERAGE(AF82,AH82))</x:f>
        <x:v>n.a.</x:v>
      </x:c>
      <x:c r="AJ82" s="84" t="str">
        <x:f>IF(OR($C82="",J82=0,AH82=""),"n.a.",AH82/(J82/4.33))</x:f>
        <x:v>n.a.</x:v>
      </x:c>
      <x:c r="AK82" s="29"/>
      <x:c r="AL82" s="30"/>
      <x:c r="AM82" s="30"/>
      <x:c r="AN82" s="82" t="str">
        <x:f>IF(OR($C82="",AL82="",NOT(ISNUMBER(AC82))),"",AL82*AC82-AM82)</x:f>
      </x:c>
      <x:c r="AO82" s="261"/>
      <x:c r="AP82" s="261"/>
    </x:row>
    <x:row r="83" ht="15" hidden="0" customHeight="1">
      <x:c r="A83" s="22"/>
      <x:c r="B83" s="81"/>
      <x:c r="C83" s="22"/>
      <x:c r="D83" s="261"/>
      <x:c r="E83" s="261"/>
      <x:c r="F83" s="261"/>
      <x:c r="G83" s="22"/>
      <x:c r="H83" s="22"/>
      <x:c r="I83" s="22"/>
      <x:c r="J83" s="30"/>
      <x:c r="K83" s="30"/>
      <x:c r="L83" s="30"/>
      <x:c r="M83" s="30"/>
      <x:c r="N83" s="30"/>
      <x:c r="O83" s="30"/>
      <x:c r="P83" s="82" t="str">
        <x:f>IF(OR($C83="",$J83="",$M83=""),"",J83*M83)</x:f>
      </x:c>
      <x:c r="Q83" s="82" t="str">
        <x:f>IF(P83="","",P83-N83-O83)</x:f>
      </x:c>
      <x:c r="R83" s="30"/>
      <x:c r="S83" s="82" t="str">
        <x:f>IF(OR($C83="",$J83="",$R83=""),"",J83*R83)</x:f>
      </x:c>
      <x:c r="T83" s="31"/>
      <x:c r="U83" s="82" t="str">
        <x:f>IF(OR($C83="",$Q83="",$T83=""),"",Q83*T83)</x:f>
      </x:c>
      <x:c r="V83" s="30"/>
      <x:c r="W83" s="30"/>
      <x:c r="X83" s="30"/>
      <x:c r="Y83" s="30"/>
      <x:c r="Z83" s="30"/>
      <x:c r="AA83" s="82" t="str">
        <x:f>IF($C83="","",Q83-S83-U83-V83-W83-X83-Z83)</x:f>
      </x:c>
      <x:c r="AB83" s="82" t="str">
        <x:f>IF($C83="","",AA83-Y83)</x:f>
      </x:c>
      <x:c r="AC83" s="83" t="str">
        <x:f>IF(OR($C83="",Q83=0),"n.a.",AB83/Q83)</x:f>
        <x:v>n.a.</x:v>
      </x:c>
      <x:c r="AD83" s="82" t="str">
        <x:f>IF(OR($C83="",L83=0),"n.a.",Y83/L83)</x:f>
        <x:v>n.a.</x:v>
      </x:c>
      <x:c r="AE83" s="82" t="str">
        <x:f>IF(OR($C83="",K83=0),"n.a.",Q83/K83)</x:f>
        <x:v>n.a.</x:v>
      </x:c>
      <x:c r="AF83" s="30"/>
      <x:c r="AG83" s="30"/>
      <x:c r="AH83" s="30"/>
      <x:c r="AI83" s="84" t="str">
        <x:f>IF(OR($C83="",AF83="",AH83="",AVERAGE(AF83,AH83)=0),"n.a.",J83/AVERAGE(AF83,AH83))</x:f>
        <x:v>n.a.</x:v>
      </x:c>
      <x:c r="AJ83" s="84" t="str">
        <x:f>IF(OR($C83="",J83=0,AH83=""),"n.a.",AH83/(J83/4.33))</x:f>
        <x:v>n.a.</x:v>
      </x:c>
      <x:c r="AK83" s="29"/>
      <x:c r="AL83" s="30"/>
      <x:c r="AM83" s="30"/>
      <x:c r="AN83" s="82" t="str">
        <x:f>IF(OR($C83="",AL83="",NOT(ISNUMBER(AC83))),"",AL83*AC83-AM83)</x:f>
      </x:c>
      <x:c r="AO83" s="261"/>
      <x:c r="AP83" s="261"/>
    </x:row>
    <x:row r="84" ht="15" hidden="0" customHeight="1">
      <x:c r="A84" s="22"/>
      <x:c r="B84" s="81"/>
      <x:c r="C84" s="22"/>
      <x:c r="D84" s="261"/>
      <x:c r="E84" s="261"/>
      <x:c r="F84" s="261"/>
      <x:c r="G84" s="22"/>
      <x:c r="H84" s="22"/>
      <x:c r="I84" s="22"/>
      <x:c r="J84" s="30"/>
      <x:c r="K84" s="30"/>
      <x:c r="L84" s="30"/>
      <x:c r="M84" s="30"/>
      <x:c r="N84" s="30"/>
      <x:c r="O84" s="30"/>
      <x:c r="P84" s="82" t="str">
        <x:f>IF(OR($C84="",$J84="",$M84=""),"",J84*M84)</x:f>
      </x:c>
      <x:c r="Q84" s="82" t="str">
        <x:f>IF(P84="","",P84-N84-O84)</x:f>
      </x:c>
      <x:c r="R84" s="30"/>
      <x:c r="S84" s="82" t="str">
        <x:f>IF(OR($C84="",$J84="",$R84=""),"",J84*R84)</x:f>
      </x:c>
      <x:c r="T84" s="31"/>
      <x:c r="U84" s="82" t="str">
        <x:f>IF(OR($C84="",$Q84="",$T84=""),"",Q84*T84)</x:f>
      </x:c>
      <x:c r="V84" s="30"/>
      <x:c r="W84" s="30"/>
      <x:c r="X84" s="30"/>
      <x:c r="Y84" s="30"/>
      <x:c r="Z84" s="30"/>
      <x:c r="AA84" s="82" t="str">
        <x:f>IF($C84="","",Q84-S84-U84-V84-W84-X84-Z84)</x:f>
      </x:c>
      <x:c r="AB84" s="82" t="str">
        <x:f>IF($C84="","",AA84-Y84)</x:f>
      </x:c>
      <x:c r="AC84" s="83" t="str">
        <x:f>IF(OR($C84="",Q84=0),"n.a.",AB84/Q84)</x:f>
        <x:v>n.a.</x:v>
      </x:c>
      <x:c r="AD84" s="82" t="str">
        <x:f>IF(OR($C84="",L84=0),"n.a.",Y84/L84)</x:f>
        <x:v>n.a.</x:v>
      </x:c>
      <x:c r="AE84" s="82" t="str">
        <x:f>IF(OR($C84="",K84=0),"n.a.",Q84/K84)</x:f>
        <x:v>n.a.</x:v>
      </x:c>
      <x:c r="AF84" s="30"/>
      <x:c r="AG84" s="30"/>
      <x:c r="AH84" s="30"/>
      <x:c r="AI84" s="84" t="str">
        <x:f>IF(OR($C84="",AF84="",AH84="",AVERAGE(AF84,AH84)=0),"n.a.",J84/AVERAGE(AF84,AH84))</x:f>
        <x:v>n.a.</x:v>
      </x:c>
      <x:c r="AJ84" s="84" t="str">
        <x:f>IF(OR($C84="",J84=0,AH84=""),"n.a.",AH84/(J84/4.33))</x:f>
        <x:v>n.a.</x:v>
      </x:c>
      <x:c r="AK84" s="29"/>
      <x:c r="AL84" s="30"/>
      <x:c r="AM84" s="30"/>
      <x:c r="AN84" s="82" t="str">
        <x:f>IF(OR($C84="",AL84="",NOT(ISNUMBER(AC84))),"",AL84*AC84-AM84)</x:f>
      </x:c>
      <x:c r="AO84" s="261"/>
      <x:c r="AP84" s="261"/>
    </x:row>
    <x:row r="85" ht="15" hidden="0" customHeight="1">
      <x:c r="A85" s="22"/>
      <x:c r="B85" s="81"/>
      <x:c r="C85" s="22"/>
      <x:c r="D85" s="261"/>
      <x:c r="E85" s="261"/>
      <x:c r="F85" s="261"/>
      <x:c r="G85" s="22"/>
      <x:c r="H85" s="22"/>
      <x:c r="I85" s="22"/>
      <x:c r="J85" s="30"/>
      <x:c r="K85" s="30"/>
      <x:c r="L85" s="30"/>
      <x:c r="M85" s="30"/>
      <x:c r="N85" s="30"/>
      <x:c r="O85" s="30"/>
      <x:c r="P85" s="82" t="str">
        <x:f>IF(OR($C85="",$J85="",$M85=""),"",J85*M85)</x:f>
      </x:c>
      <x:c r="Q85" s="82" t="str">
        <x:f>IF(P85="","",P85-N85-O85)</x:f>
      </x:c>
      <x:c r="R85" s="30"/>
      <x:c r="S85" s="82" t="str">
        <x:f>IF(OR($C85="",$J85="",$R85=""),"",J85*R85)</x:f>
      </x:c>
      <x:c r="T85" s="31"/>
      <x:c r="U85" s="82" t="str">
        <x:f>IF(OR($C85="",$Q85="",$T85=""),"",Q85*T85)</x:f>
      </x:c>
      <x:c r="V85" s="30"/>
      <x:c r="W85" s="30"/>
      <x:c r="X85" s="30"/>
      <x:c r="Y85" s="30"/>
      <x:c r="Z85" s="30"/>
      <x:c r="AA85" s="82" t="str">
        <x:f>IF($C85="","",Q85-S85-U85-V85-W85-X85-Z85)</x:f>
      </x:c>
      <x:c r="AB85" s="82" t="str">
        <x:f>IF($C85="","",AA85-Y85)</x:f>
      </x:c>
      <x:c r="AC85" s="83" t="str">
        <x:f>IF(OR($C85="",Q85=0),"n.a.",AB85/Q85)</x:f>
        <x:v>n.a.</x:v>
      </x:c>
      <x:c r="AD85" s="82" t="str">
        <x:f>IF(OR($C85="",L85=0),"n.a.",Y85/L85)</x:f>
        <x:v>n.a.</x:v>
      </x:c>
      <x:c r="AE85" s="82" t="str">
        <x:f>IF(OR($C85="",K85=0),"n.a.",Q85/K85)</x:f>
        <x:v>n.a.</x:v>
      </x:c>
      <x:c r="AF85" s="30"/>
      <x:c r="AG85" s="30"/>
      <x:c r="AH85" s="30"/>
      <x:c r="AI85" s="84" t="str">
        <x:f>IF(OR($C85="",AF85="",AH85="",AVERAGE(AF85,AH85)=0),"n.a.",J85/AVERAGE(AF85,AH85))</x:f>
        <x:v>n.a.</x:v>
      </x:c>
      <x:c r="AJ85" s="84" t="str">
        <x:f>IF(OR($C85="",J85=0,AH85=""),"n.a.",AH85/(J85/4.33))</x:f>
        <x:v>n.a.</x:v>
      </x:c>
      <x:c r="AK85" s="29"/>
      <x:c r="AL85" s="30"/>
      <x:c r="AM85" s="30"/>
      <x:c r="AN85" s="82" t="str">
        <x:f>IF(OR($C85="",AL85="",NOT(ISNUMBER(AC85))),"",AL85*AC85-AM85)</x:f>
      </x:c>
      <x:c r="AO85" s="261"/>
      <x:c r="AP85" s="261"/>
    </x:row>
    <x:row r="86" ht="15" hidden="0" customHeight="1">
      <x:c r="A86" s="22"/>
      <x:c r="B86" s="81"/>
      <x:c r="C86" s="22"/>
      <x:c r="D86" s="261"/>
      <x:c r="E86" s="261"/>
      <x:c r="F86" s="261"/>
      <x:c r="G86" s="22"/>
      <x:c r="H86" s="22"/>
      <x:c r="I86" s="22"/>
      <x:c r="J86" s="30"/>
      <x:c r="K86" s="30"/>
      <x:c r="L86" s="30"/>
      <x:c r="M86" s="30"/>
      <x:c r="N86" s="30"/>
      <x:c r="O86" s="30"/>
      <x:c r="P86" s="82" t="str">
        <x:f>IF(OR($C86="",$J86="",$M86=""),"",J86*M86)</x:f>
      </x:c>
      <x:c r="Q86" s="82" t="str">
        <x:f>IF(P86="","",P86-N86-O86)</x:f>
      </x:c>
      <x:c r="R86" s="30"/>
      <x:c r="S86" s="82" t="str">
        <x:f>IF(OR($C86="",$J86="",$R86=""),"",J86*R86)</x:f>
      </x:c>
      <x:c r="T86" s="31"/>
      <x:c r="U86" s="82" t="str">
        <x:f>IF(OR($C86="",$Q86="",$T86=""),"",Q86*T86)</x:f>
      </x:c>
      <x:c r="V86" s="30"/>
      <x:c r="W86" s="30"/>
      <x:c r="X86" s="30"/>
      <x:c r="Y86" s="30"/>
      <x:c r="Z86" s="30"/>
      <x:c r="AA86" s="82" t="str">
        <x:f>IF($C86="","",Q86-S86-U86-V86-W86-X86-Z86)</x:f>
      </x:c>
      <x:c r="AB86" s="82" t="str">
        <x:f>IF($C86="","",AA86-Y86)</x:f>
      </x:c>
      <x:c r="AC86" s="83" t="str">
        <x:f>IF(OR($C86="",Q86=0),"n.a.",AB86/Q86)</x:f>
        <x:v>n.a.</x:v>
      </x:c>
      <x:c r="AD86" s="82" t="str">
        <x:f>IF(OR($C86="",L86=0),"n.a.",Y86/L86)</x:f>
        <x:v>n.a.</x:v>
      </x:c>
      <x:c r="AE86" s="82" t="str">
        <x:f>IF(OR($C86="",K86=0),"n.a.",Q86/K86)</x:f>
        <x:v>n.a.</x:v>
      </x:c>
      <x:c r="AF86" s="30"/>
      <x:c r="AG86" s="30"/>
      <x:c r="AH86" s="30"/>
      <x:c r="AI86" s="84" t="str">
        <x:f>IF(OR($C86="",AF86="",AH86="",AVERAGE(AF86,AH86)=0),"n.a.",J86/AVERAGE(AF86,AH86))</x:f>
        <x:v>n.a.</x:v>
      </x:c>
      <x:c r="AJ86" s="84" t="str">
        <x:f>IF(OR($C86="",J86=0,AH86=""),"n.a.",AH86/(J86/4.33))</x:f>
        <x:v>n.a.</x:v>
      </x:c>
      <x:c r="AK86" s="29"/>
      <x:c r="AL86" s="30"/>
      <x:c r="AM86" s="30"/>
      <x:c r="AN86" s="82" t="str">
        <x:f>IF(OR($C86="",AL86="",NOT(ISNUMBER(AC86))),"",AL86*AC86-AM86)</x:f>
      </x:c>
      <x:c r="AO86" s="261"/>
      <x:c r="AP86" s="261"/>
    </x:row>
    <x:row r="87" ht="15" hidden="0" customHeight="1">
      <x:c r="A87" s="22"/>
      <x:c r="B87" s="81"/>
      <x:c r="C87" s="22"/>
      <x:c r="D87" s="261"/>
      <x:c r="E87" s="261"/>
      <x:c r="F87" s="261"/>
      <x:c r="G87" s="22"/>
      <x:c r="H87" s="22"/>
      <x:c r="I87" s="22"/>
      <x:c r="J87" s="30"/>
      <x:c r="K87" s="30"/>
      <x:c r="L87" s="30"/>
      <x:c r="M87" s="30"/>
      <x:c r="N87" s="30"/>
      <x:c r="O87" s="30"/>
      <x:c r="P87" s="82" t="str">
        <x:f>IF(OR($C87="",$J87="",$M87=""),"",J87*M87)</x:f>
      </x:c>
      <x:c r="Q87" s="82" t="str">
        <x:f>IF(P87="","",P87-N87-O87)</x:f>
      </x:c>
      <x:c r="R87" s="30"/>
      <x:c r="S87" s="82" t="str">
        <x:f>IF(OR($C87="",$J87="",$R87=""),"",J87*R87)</x:f>
      </x:c>
      <x:c r="T87" s="31"/>
      <x:c r="U87" s="82" t="str">
        <x:f>IF(OR($C87="",$Q87="",$T87=""),"",Q87*T87)</x:f>
      </x:c>
      <x:c r="V87" s="30"/>
      <x:c r="W87" s="30"/>
      <x:c r="X87" s="30"/>
      <x:c r="Y87" s="30"/>
      <x:c r="Z87" s="30"/>
      <x:c r="AA87" s="82" t="str">
        <x:f>IF($C87="","",Q87-S87-U87-V87-W87-X87-Z87)</x:f>
      </x:c>
      <x:c r="AB87" s="82" t="str">
        <x:f>IF($C87="","",AA87-Y87)</x:f>
      </x:c>
      <x:c r="AC87" s="83" t="str">
        <x:f>IF(OR($C87="",Q87=0),"n.a.",AB87/Q87)</x:f>
        <x:v>n.a.</x:v>
      </x:c>
      <x:c r="AD87" s="82" t="str">
        <x:f>IF(OR($C87="",L87=0),"n.a.",Y87/L87)</x:f>
        <x:v>n.a.</x:v>
      </x:c>
      <x:c r="AE87" s="82" t="str">
        <x:f>IF(OR($C87="",K87=0),"n.a.",Q87/K87)</x:f>
        <x:v>n.a.</x:v>
      </x:c>
      <x:c r="AF87" s="30"/>
      <x:c r="AG87" s="30"/>
      <x:c r="AH87" s="30"/>
      <x:c r="AI87" s="84" t="str">
        <x:f>IF(OR($C87="",AF87="",AH87="",AVERAGE(AF87,AH87)=0),"n.a.",J87/AVERAGE(AF87,AH87))</x:f>
        <x:v>n.a.</x:v>
      </x:c>
      <x:c r="AJ87" s="84" t="str">
        <x:f>IF(OR($C87="",J87=0,AH87=""),"n.a.",AH87/(J87/4.33))</x:f>
        <x:v>n.a.</x:v>
      </x:c>
      <x:c r="AK87" s="29"/>
      <x:c r="AL87" s="30"/>
      <x:c r="AM87" s="30"/>
      <x:c r="AN87" s="82" t="str">
        <x:f>IF(OR($C87="",AL87="",NOT(ISNUMBER(AC87))),"",AL87*AC87-AM87)</x:f>
      </x:c>
      <x:c r="AO87" s="261"/>
      <x:c r="AP87" s="261"/>
    </x:row>
    <x:row r="88" ht="15" hidden="0" customHeight="1">
      <x:c r="A88" s="22"/>
      <x:c r="B88" s="81"/>
      <x:c r="C88" s="22"/>
      <x:c r="D88" s="261"/>
      <x:c r="E88" s="261"/>
      <x:c r="F88" s="261"/>
      <x:c r="G88" s="22"/>
      <x:c r="H88" s="22"/>
      <x:c r="I88" s="22"/>
      <x:c r="J88" s="30"/>
      <x:c r="K88" s="30"/>
      <x:c r="L88" s="30"/>
      <x:c r="M88" s="30"/>
      <x:c r="N88" s="30"/>
      <x:c r="O88" s="30"/>
      <x:c r="P88" s="82" t="str">
        <x:f>IF(OR($C88="",$J88="",$M88=""),"",J88*M88)</x:f>
      </x:c>
      <x:c r="Q88" s="82" t="str">
        <x:f>IF(P88="","",P88-N88-O88)</x:f>
      </x:c>
      <x:c r="R88" s="30"/>
      <x:c r="S88" s="82" t="str">
        <x:f>IF(OR($C88="",$J88="",$R88=""),"",J88*R88)</x:f>
      </x:c>
      <x:c r="T88" s="31"/>
      <x:c r="U88" s="82" t="str">
        <x:f>IF(OR($C88="",$Q88="",$T88=""),"",Q88*T88)</x:f>
      </x:c>
      <x:c r="V88" s="30"/>
      <x:c r="W88" s="30"/>
      <x:c r="X88" s="30"/>
      <x:c r="Y88" s="30"/>
      <x:c r="Z88" s="30"/>
      <x:c r="AA88" s="82" t="str">
        <x:f>IF($C88="","",Q88-S88-U88-V88-W88-X88-Z88)</x:f>
      </x:c>
      <x:c r="AB88" s="82" t="str">
        <x:f>IF($C88="","",AA88-Y88)</x:f>
      </x:c>
      <x:c r="AC88" s="83" t="str">
        <x:f>IF(OR($C88="",Q88=0),"n.a.",AB88/Q88)</x:f>
        <x:v>n.a.</x:v>
      </x:c>
      <x:c r="AD88" s="82" t="str">
        <x:f>IF(OR($C88="",L88=0),"n.a.",Y88/L88)</x:f>
        <x:v>n.a.</x:v>
      </x:c>
      <x:c r="AE88" s="82" t="str">
        <x:f>IF(OR($C88="",K88=0),"n.a.",Q88/K88)</x:f>
        <x:v>n.a.</x:v>
      </x:c>
      <x:c r="AF88" s="30"/>
      <x:c r="AG88" s="30"/>
      <x:c r="AH88" s="30"/>
      <x:c r="AI88" s="84" t="str">
        <x:f>IF(OR($C88="",AF88="",AH88="",AVERAGE(AF88,AH88)=0),"n.a.",J88/AVERAGE(AF88,AH88))</x:f>
        <x:v>n.a.</x:v>
      </x:c>
      <x:c r="AJ88" s="84" t="str">
        <x:f>IF(OR($C88="",J88=0,AH88=""),"n.a.",AH88/(J88/4.33))</x:f>
        <x:v>n.a.</x:v>
      </x:c>
      <x:c r="AK88" s="29"/>
      <x:c r="AL88" s="30"/>
      <x:c r="AM88" s="30"/>
      <x:c r="AN88" s="82" t="str">
        <x:f>IF(OR($C88="",AL88="",NOT(ISNUMBER(AC88))),"",AL88*AC88-AM88)</x:f>
      </x:c>
      <x:c r="AO88" s="261"/>
      <x:c r="AP88" s="261"/>
    </x:row>
    <x:row r="89" ht="15" hidden="0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  <x:c r="T89" s="3"/>
      <x:c r="U89" s="3"/>
      <x:c r="V89" s="3"/>
      <x:c r="W89" s="3"/>
      <x:c r="X89" s="3"/>
      <x:c r="Y89" s="3"/>
      <x:c r="Z89" s="3"/>
      <x:c r="AA89" s="3"/>
      <x:c r="AB89" s="3"/>
      <x:c r="AC89" s="3"/>
      <x:c r="AD89" s="3"/>
      <x:c r="AE89" s="3"/>
      <x:c r="AF89" s="3"/>
      <x:c r="AG89" s="3"/>
      <x:c r="AH89" s="3"/>
      <x:c r="AI89" s="3"/>
      <x:c r="AJ89" s="3"/>
      <x:c r="AK89" s="3"/>
      <x:c r="AL89" s="3"/>
      <x:c r="AM89" s="3"/>
      <x:c r="AN89" s="3"/>
      <x:c r="AO89" s="3"/>
      <x:c r="AP89" s="3"/>
    </x:row>
    <x:row r="90" ht="15" hidden="0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  <x:c r="T90" s="3"/>
      <x:c r="U90" s="3"/>
      <x:c r="V90" s="3"/>
      <x:c r="W90" s="3"/>
      <x:c r="X90" s="3"/>
      <x:c r="Y90" s="3"/>
      <x:c r="Z90" s="3"/>
      <x:c r="AA90" s="3"/>
      <x:c r="AB90" s="3"/>
      <x:c r="AC90" s="3"/>
      <x:c r="AD90" s="3"/>
      <x:c r="AE90" s="3"/>
      <x:c r="AF90" s="3"/>
      <x:c r="AG90" s="3"/>
      <x:c r="AH90" s="3"/>
      <x:c r="AI90" s="3"/>
      <x:c r="AJ90" s="3"/>
      <x:c r="AK90" s="3"/>
      <x:c r="AL90" s="3"/>
      <x:c r="AM90" s="3"/>
      <x:c r="AN90" s="3"/>
      <x:c r="AO90" s="3"/>
      <x:c r="AP90" s="3"/>
    </x:row>
  </x:sheetData>
  <x:mergeCells>
    <x:mergeCell ref="A1:AP2"/>
    <x:mergeCell ref="A3:AP3"/>
    <x:mergeCell ref="B5:C5"/>
    <x:mergeCell ref="E5:F5"/>
    <x:mergeCell ref="H5:I5"/>
    <x:mergeCell ref="K5:L5"/>
  </x:mergeCells>
  <x:conditionalFormatting sqref="H9:I88">
    <x:cfRule type="containsText" dxfId="60" priority="1" operator="containsText" text="قرمز"/>
    <x:cfRule type="containsText" dxfId="61" priority="2" operator="containsText" text="بحرانی"/>
    <x:cfRule type="containsText" dxfId="62" priority="3" operator="containsText" text="رد"/>
    <x:cfRule type="containsText" dxfId="63" priority="4" operator="containsText" text="متوقف"/>
    <x:cfRule type="containsText" dxfId="64" priority="5" operator="containsText" text="عقب‌افتاده"/>
    <x:cfRule type="containsText" dxfId="65" priority="6" operator="containsText" text="نامعتبر"/>
    <x:cfRule type="containsText" dxfId="66" priority="7" operator="containsText" text="زرد"/>
    <x:cfRule type="containsText" dxfId="67" priority="8" operator="containsText" text="باز"/>
    <x:cfRule type="containsText" dxfId="68" priority="9" operator="containsText" text="نیازمند اصلاح"/>
    <x:cfRule type="containsText" dxfId="69" priority="10" operator="containsText" text="در انتظار"/>
    <x:cfRule type="containsText" dxfId="70" priority="11" operator="containsText" text="نمونه آموزشی"/>
    <x:cfRule type="containsText" dxfId="71" priority="12" operator="containsText" text="سبز"/>
    <x:cfRule type="containsText" dxfId="72" priority="13" operator="containsText" text="بسته"/>
    <x:cfRule type="containsText" dxfId="73" priority="14" operator="containsText" text="تأیید"/>
    <x:cfRule type="containsText" dxfId="74" priority="15" operator="containsText" text="آزادشده"/>
    <x:cfRule type="containsText" dxfId="75" priority="16" operator="containsText" text="انجام‌شده"/>
    <x:cfRule type="containsText" dxfId="76" priority="17" operator="containsText" text="خاکستری"/>
    <x:cfRule type="containsText" dxfId="77" priority="18" operator="containsText" text="نابالغ"/>
    <x:cfRule type="containsText" dxfId="78" priority="19" operator="containsText" text="پنجره کامل نشده"/>
    <x:cfRule type="containsText" dxfId="79" priority="20" operator="containsText" text="n.a."/>
  </x:conditionalFormatting>
  <x:conditionalFormatting sqref="AC9:AC88">
    <x:cfRule type="cellIs" dxfId="80" priority="21" operator="lessThan">
      <x:formula>'فرض‌ها و منابع'!$B$13</x:formula>
    </x:cfRule>
  </x:conditionalFormatting>
  <x:conditionalFormatting sqref="AD9:AD88">
    <x:cfRule type="cellIs" dxfId="81" priority="22" operator="greaterThan">
      <x:formula>'فرض‌ها و منابع'!$B$14</x:formula>
    </x:cfRule>
  </x:conditionalFormatting>
  <x:conditionalFormatting sqref="AJ9:AJ88">
    <x:cfRule type="cellIs" dxfId="82" priority="23" operator="greaterThan">
      <x:formula>'فرض‌ها و منابع'!$B$16</x:formula>
    </x:cfRule>
  </x:conditionalFormatting>
  <x:dataValidations count="4">
    <x:dataValidation type="list" sqref="E9:E88">
      <x:formula1>"محصول هسته,ترافیک‌ساز,تکمیل‌کننده سبد,آزمایشی,محصول گرفتار"</x:formula1>
    </x:dataValidation>
    <x:dataValidation type="list" sqref="F9:F88">
      <x:formula1>"فروشگاه آنلاین,مارکت‌پلیس,فروش حضوری,نماینده / توزیع‌کننده,B2B,صادرات,سایر"</x:formula1>
    </x:dataValidation>
    <x:dataValidation type="list" sqref="H9:H88">
      <x:formula1>"آزادشده,آزادسازی مشروط,قرنطینه,رد,نامشخص"</x:formula1>
    </x:dataValidation>
    <x:dataValidation type="list" sqref="I9:I88">
      <x:formula1>"خیر,بله,در بررسی"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2" hidden="0" customWidth="1"/>
    <x:col min="5" max="5" width="27" hidden="0" customWidth="1"/>
    <x:col min="6" max="6" width="18" hidden="0" customWidth="1"/>
    <x:col min="7" max="7" width="22" hidden="0" customWidth="1"/>
    <x:col min="8" max="8" width="17" hidden="0" customWidth="1"/>
    <x:col min="9" max="9" width="16" hidden="0" customWidth="1"/>
    <x:col min="10" max="10" width="22" hidden="0" customWidth="1"/>
    <x:col min="11" max="11" width="16" hidden="0" customWidth="1"/>
    <x:col min="12" max="12" width="16" hidden="0" customWidth="1"/>
    <x:col min="13" max="13" width="25" hidden="0" customWidth="1"/>
    <x:col min="14" max="14" width="15" hidden="0" customWidth="1"/>
  </x:cols>
  <x:sheetData>
    <x:row r="1" ht="34" customHeight="1">
      <x:c r="A1" s="7" t="str">
        <x:v>T07 | تقویم نقد ۱۳ هفته‌ای</x:v>
      </x:c>
      <x:c r="B1" s="7" t="str">
        <x:v>T07 | تقویم نقد ۱۳ هفته‌ای</x:v>
      </x:c>
      <x:c r="C1" s="7" t="str">
        <x:v>T07 | تقویم نقد ۱۳ هفته‌ای</x:v>
      </x:c>
      <x:c r="D1" s="7" t="str">
        <x:v>T07 | تقویم نقد ۱۳ هفته‌ای</x:v>
      </x:c>
      <x:c r="E1" s="7" t="str">
        <x:v>T07 | تقویم نقد ۱۳ هفته‌ای</x:v>
      </x:c>
      <x:c r="F1" s="7" t="str">
        <x:v>T07 | تقویم نقد ۱۳ هفته‌ای</x:v>
      </x:c>
      <x:c r="G1" s="7" t="str">
        <x:v>T07 | تقویم نقد ۱۳ هفته‌ای</x:v>
      </x:c>
      <x:c r="H1" s="7" t="str">
        <x:v>T07 | تقویم نقد ۱۳ هفته‌ای</x:v>
      </x:c>
      <x:c r="I1" s="7" t="str">
        <x:v>T07 | تقویم نقد ۱۳ هفته‌ای</x:v>
      </x:c>
      <x:c r="J1" s="7" t="str">
        <x:v>T07 | تقویم نقد ۱۳ هفته‌ای</x:v>
      </x:c>
      <x:c r="K1" s="7" t="str">
        <x:v>T07 | تقویم نقد ۱۳ هفته‌ای</x:v>
      </x:c>
      <x:c r="L1" s="7" t="str">
        <x:v>T07 | تقویم نقد ۱۳ هفته‌ای</x:v>
      </x:c>
      <x:c r="M1" s="7" t="str">
        <x:v>T07 | تقویم نقد ۱۳ هفته‌ای</x:v>
      </x:c>
      <x:c r="N1" s="7" t="str">
        <x:v>T07 | تقویم نقد ۱۳ هفته‌ای</x:v>
      </x:c>
    </x:row>
    <x:row r="2" ht="34" customHeight="1">
      <x:c r="A2" s="7" t="str">
        <x:v>T07 | تقویم نقد ۱۳ هفته‌ای</x:v>
      </x:c>
      <x:c r="B2" s="7" t="str">
        <x:v>T07 | تقویم نقد ۱۳ هفته‌ای</x:v>
      </x:c>
      <x:c r="C2" s="7" t="str">
        <x:v>T07 | تقویم نقد ۱۳ هفته‌ای</x:v>
      </x:c>
      <x:c r="D2" s="7" t="str">
        <x:v>T07 | تقویم نقد ۱۳ هفته‌ای</x:v>
      </x:c>
      <x:c r="E2" s="7" t="str">
        <x:v>T07 | تقویم نقد ۱۳ هفته‌ای</x:v>
      </x:c>
      <x:c r="F2" s="7" t="str">
        <x:v>T07 | تقویم نقد ۱۳ هفته‌ای</x:v>
      </x:c>
      <x:c r="G2" s="7" t="str">
        <x:v>T07 | تقویم نقد ۱۳ هفته‌ای</x:v>
      </x:c>
      <x:c r="H2" s="7" t="str">
        <x:v>T07 | تقویم نقد ۱۳ هفته‌ای</x:v>
      </x:c>
      <x:c r="I2" s="7" t="str">
        <x:v>T07 | تقویم نقد ۱۳ هفته‌ای</x:v>
      </x:c>
      <x:c r="J2" s="7" t="str">
        <x:v>T07 | تقویم نقد ۱۳ هفته‌ای</x:v>
      </x:c>
      <x:c r="K2" s="7" t="str">
        <x:v>T07 | تقویم نقد ۱۳ هفته‌ای</x:v>
      </x:c>
      <x:c r="L2" s="7" t="str">
        <x:v>T07 | تقویم نقد ۱۳ هفته‌ای</x:v>
      </x:c>
      <x:c r="M2" s="7" t="str">
        <x:v>T07 | تقویم نقد ۱۳ هفته‌ای</x:v>
      </x:c>
      <x:c r="N2" s="7" t="str">
        <x:v>T07 | تقویم نقد ۱۳ هفته‌ای</x:v>
      </x:c>
    </x:row>
    <x:row r="3" ht="15" hidden="0" customHeight="1">
      <x:c r="A3" s="89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B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C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D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E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F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G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H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I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J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K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L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M3" s="90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  <x:c r="N3" s="91" t="str">
        <x:v>فروش و وصول یک رویداد نیستند. این تقویم از تاریخ واقعی یا پیش‌بینی‌شده ورود و خروج وجه ساخته می‌شود. رویداد لغوشده در محاسبات وارد نمی‌شود.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4" hidden="0" customHeight="1">
      <x:c r="A5" s="96" t="str">
        <x:v>کمترین مانده ۱۳ هفته</x:v>
      </x:c>
      <x:c r="B5" s="97" t="n">
        <x:f>MIN(B24:N24)</x:f>
        <x:v>122000000</x:v>
      </x:c>
      <x:c r="C5" s="97" t="str"/>
      <x:c r="D5" s="97" t="str">
        <x:v>نیاز تأمین تا کف نقد</x:v>
      </x:c>
      <x:c r="E5" s="97" t="n">
        <x:f>MAX(0,'فرض‌ها و منابع'!$B$20-B5)</x:f>
        <x:v>0</x:v>
      </x:c>
      <x:c r="F5" s="97" t="str"/>
      <x:c r="G5" s="96" t="str">
        <x:v>مطالبات عقب‌افتاده</x:v>
      </x:c>
      <x:c r="H5" s="97" t="n">
        <x:f>SUMIFS($H$36:$H$85,$D$36:$D$85,"ورودی",$I$36:$I$85,"عقب‌افتاده")</x:f>
        <x:v>25000000</x:v>
      </x:c>
      <x:c r="I5" s="97" t="str"/>
      <x:c r="J5" s="97" t="str">
        <x:v>مانده پایان هفته ۱۳</x:v>
      </x:c>
      <x:c r="K5" s="97" t="n">
        <x:f>N24</x:f>
        <x:v>206000000</x:v>
      </x:c>
      <x:c r="L5" s="97" t="str"/>
      <x:c r="M5" s="96" t="str">
        <x:v>وضعیت</x:v>
      </x:c>
      <x:c r="N5" s="96" t="str">
        <x:f>IF(COUNTA($A$36:$A$85)=0,"خاکستری",IF(B5&lt;'فرض‌ها و منابع'!$B$20,"قرمز",IF(B5&lt;'فرض‌ها و منابع'!$B$20*1.25,"زرد","سبز")))</x:f>
        <x:v>زرد</x:v>
      </x:c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15" hidden="0" customHeight="1">
      <x:c r="A7" s="26" t="str">
        <x:v>پیش‌بینی هفتگی</x:v>
      </x:c>
      <x:c r="B7" s="27" t="str">
        <x:v>پیش‌بینی هفتگی</x:v>
      </x:c>
      <x:c r="C7" s="27" t="str">
        <x:v>پیش‌بینی هفتگی</x:v>
      </x:c>
      <x:c r="D7" s="27" t="str">
        <x:v>پیش‌بینی هفتگی</x:v>
      </x:c>
      <x:c r="E7" s="27" t="str">
        <x:v>پیش‌بینی هفتگی</x:v>
      </x:c>
      <x:c r="F7" s="27" t="str">
        <x:v>پیش‌بینی هفتگی</x:v>
      </x:c>
      <x:c r="G7" s="27" t="str">
        <x:v>پیش‌بینی هفتگی</x:v>
      </x:c>
      <x:c r="H7" s="27" t="str">
        <x:v>پیش‌بینی هفتگی</x:v>
      </x:c>
      <x:c r="I7" s="27" t="str">
        <x:v>پیش‌بینی هفتگی</x:v>
      </x:c>
      <x:c r="J7" s="27" t="str">
        <x:v>پیش‌بینی هفتگی</x:v>
      </x:c>
      <x:c r="K7" s="27" t="str">
        <x:v>پیش‌بینی هفتگی</x:v>
      </x:c>
      <x:c r="L7" s="27" t="str">
        <x:v>پیش‌بینی هفتگی</x:v>
      </x:c>
      <x:c r="M7" s="27" t="str">
        <x:v>پیش‌بینی هفتگی</x:v>
      </x:c>
      <x:c r="N7" s="28" t="str">
        <x:v>پیش‌بینی هفتگی</x:v>
      </x:c>
    </x:row>
    <x:row r="8" ht="15" hidden="0" customHeight="1">
      <x:c r="A8" s="41" t="str">
        <x:v>شرح</x:v>
      </x:c>
      <x:c r="B8" s="98" t="n">
        <x:f>'فرض‌ها و منابع'!$B$23</x:f>
        <x:v>46279</x:v>
      </x:c>
      <x:c r="C8" s="98" t="n">
        <x:f>B8+7</x:f>
        <x:v>46286</x:v>
      </x:c>
      <x:c r="D8" s="98" t="n">
        <x:f>C8+7</x:f>
        <x:v>46293</x:v>
      </x:c>
      <x:c r="E8" s="98" t="n">
        <x:f>D8+7</x:f>
        <x:v>46300</x:v>
      </x:c>
      <x:c r="F8" s="98" t="n">
        <x:f>E8+7</x:f>
        <x:v>46307</x:v>
      </x:c>
      <x:c r="G8" s="98" t="n">
        <x:f>F8+7</x:f>
        <x:v>46314</x:v>
      </x:c>
      <x:c r="H8" s="98" t="n">
        <x:f>G8+7</x:f>
        <x:v>46321</x:v>
      </x:c>
      <x:c r="I8" s="98" t="n">
        <x:f>H8+7</x:f>
        <x:v>46328</x:v>
      </x:c>
      <x:c r="J8" s="98" t="n">
        <x:f>I8+7</x:f>
        <x:v>46335</x:v>
      </x:c>
      <x:c r="K8" s="98" t="n">
        <x:f>J8+7</x:f>
        <x:v>46342</x:v>
      </x:c>
      <x:c r="L8" s="98" t="n">
        <x:f>K8+7</x:f>
        <x:v>46349</x:v>
      </x:c>
      <x:c r="M8" s="98" t="n">
        <x:f>L8+7</x:f>
        <x:v>46356</x:v>
      </x:c>
      <x:c r="N8" s="98" t="n">
        <x:f>M8+7</x:f>
        <x:v>46363</x:v>
      </x:c>
    </x:row>
    <x:row r="9" ht="15" hidden="0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15" hidden="0" customHeight="1">
      <x:c r="A10" s="120" t="str">
        <x:v>مانده آغاز هفته</x:v>
      </x:c>
      <x:c r="B10" s="82" t="n">
        <x:f>'فرض‌ها و منابع'!$B$10</x:f>
        <x:v>300000000</x:v>
      </x:c>
      <x:c r="C10" s="82" t="n">
        <x:f>B24</x:f>
        <x:v>207000000</x:v>
      </x:c>
      <x:c r="D10" s="82" t="n">
        <x:f>C24</x:f>
        <x:v>217000000</x:v>
      </x:c>
      <x:c r="E10" s="82" t="n">
        <x:f>D24</x:f>
        <x:v>229000000</x:v>
      </x:c>
      <x:c r="F10" s="82" t="n">
        <x:f>E24</x:f>
        <x:v>240000000</x:v>
      </x:c>
      <x:c r="G10" s="82" t="n">
        <x:f>F24</x:f>
        <x:v>155000000</x:v>
      </x:c>
      <x:c r="H10" s="82" t="n">
        <x:f>G24</x:f>
        <x:v>171000000</x:v>
      </x:c>
      <x:c r="I10" s="82" t="n">
        <x:f>H24</x:f>
        <x:v>188000000</x:v>
      </x:c>
      <x:c r="J10" s="82" t="n">
        <x:f>I24</x:f>
        <x:v>203000000</x:v>
      </x:c>
      <x:c r="K10" s="82" t="n">
        <x:f>J24</x:f>
        <x:v>122000000</x:v>
      </x:c>
      <x:c r="L10" s="82" t="n">
        <x:f>K24</x:f>
        <x:v>142000000</x:v>
      </x:c>
      <x:c r="M10" s="82" t="n">
        <x:f>L24</x:f>
        <x:v>163000000</x:v>
      </x:c>
      <x:c r="N10" s="82" t="n">
        <x:f>M24</x:f>
        <x:v>182000000</x:v>
      </x:c>
    </x:row>
    <x:row r="11" ht="15" hidden="0" customHeight="1">
      <x:c r="A11" s="120" t="str">
        <x:v>وصول فروش</x:v>
      </x:c>
      <x:c r="B11" s="82" t="n">
        <x:f>SUMIFS($H$36:$H$85,$B$36:$B$85,"&gt;="&amp;B$8,$B$36:$B$85,"&lt;"&amp;B$8+7,$D$36:$D$85,"ورودی",$E$36:$E$85,"وصول فروش",$I$36:$I$85,"&lt;&gt;لغو")</x:f>
        <x:v>35000000</x:v>
      </x:c>
      <x:c r="C11" s="82" t="n">
        <x:f>SUMIFS($H$36:$H$85,$B$36:$B$85,"&gt;="&amp;C$8,$B$36:$B$85,"&lt;"&amp;C$8+7,$D$36:$D$85,"ورودی",$E$36:$E$85,"وصول فروش",$I$36:$I$85,"&lt;&gt;لغو")</x:f>
        <x:v>38000000</x:v>
      </x:c>
      <x:c r="D11" s="82" t="n">
        <x:f>SUMIFS($H$36:$H$85,$B$36:$B$85,"&gt;="&amp;D$8,$B$36:$B$85,"&lt;"&amp;D$8+7,$D$36:$D$85,"ورودی",$E$36:$E$85,"وصول فروش",$I$36:$I$85,"&lt;&gt;لغو")</x:f>
        <x:v>40000000</x:v>
      </x:c>
      <x:c r="E11" s="82" t="n">
        <x:f>SUMIFS($H$36:$H$85,$B$36:$B$85,"&gt;="&amp;E$8,$B$36:$B$85,"&lt;"&amp;E$8+7,$D$36:$D$85,"ورودی",$E$36:$E$85,"وصول فروش",$I$36:$I$85,"&lt;&gt;لغو")</x:f>
        <x:v>42000000</x:v>
      </x:c>
      <x:c r="F11" s="82" t="n">
        <x:f>SUMIFS($H$36:$H$85,$B$36:$B$85,"&gt;="&amp;F$8,$B$36:$B$85,"&lt;"&amp;F$8+7,$D$36:$D$85,"ورودی",$E$36:$E$85,"وصول فروش",$I$36:$I$85,"&lt;&gt;لغو")</x:f>
        <x:v>43000000</x:v>
      </x:c>
      <x:c r="G11" s="82" t="n">
        <x:f>SUMIFS($H$36:$H$85,$B$36:$B$85,"&gt;="&amp;G$8,$B$36:$B$85,"&lt;"&amp;G$8+7,$D$36:$D$85,"ورودی",$E$36:$E$85,"وصول فروش",$I$36:$I$85,"&lt;&gt;لغو")</x:f>
        <x:v>44000000</x:v>
      </x:c>
      <x:c r="H11" s="82" t="n">
        <x:f>SUMIFS($H$36:$H$85,$B$36:$B$85,"&gt;="&amp;H$8,$B$36:$B$85,"&lt;"&amp;H$8+7,$D$36:$D$85,"ورودی",$E$36:$E$85,"وصول فروش",$I$36:$I$85,"&lt;&gt;لغو")</x:f>
        <x:v>45000000</x:v>
      </x:c>
      <x:c r="I11" s="82" t="n">
        <x:f>SUMIFS($H$36:$H$85,$B$36:$B$85,"&gt;="&amp;I$8,$B$36:$B$85,"&lt;"&amp;I$8+7,$D$36:$D$85,"ورودی",$E$36:$E$85,"وصول فروش",$I$36:$I$85,"&lt;&gt;لغو")</x:f>
        <x:v>46000000</x:v>
      </x:c>
      <x:c r="J11" s="82" t="n">
        <x:f>SUMIFS($H$36:$H$85,$B$36:$B$85,"&gt;="&amp;J$8,$B$36:$B$85,"&lt;"&amp;J$8+7,$D$36:$D$85,"ورودی",$E$36:$E$85,"وصول فروش",$I$36:$I$85,"&lt;&gt;لغو")</x:f>
        <x:v>47000000</x:v>
      </x:c>
      <x:c r="K11" s="82" t="n">
        <x:f>SUMIFS($H$36:$H$85,$B$36:$B$85,"&gt;="&amp;K$8,$B$36:$B$85,"&lt;"&amp;K$8+7,$D$36:$D$85,"ورودی",$E$36:$E$85,"وصول فروش",$I$36:$I$85,"&lt;&gt;لغو")</x:f>
        <x:v>48000000</x:v>
      </x:c>
      <x:c r="L11" s="82" t="n">
        <x:f>SUMIFS($H$36:$H$85,$B$36:$B$85,"&gt;="&amp;L$8,$B$36:$B$85,"&lt;"&amp;L$8+7,$D$36:$D$85,"ورودی",$E$36:$E$85,"وصول فروش",$I$36:$I$85,"&lt;&gt;لغو")</x:f>
        <x:v>49000000</x:v>
      </x:c>
      <x:c r="M11" s="82" t="n">
        <x:f>SUMIFS($H$36:$H$85,$B$36:$B$85,"&gt;="&amp;M$8,$B$36:$B$85,"&lt;"&amp;M$8+7,$D$36:$D$85,"ورودی",$E$36:$E$85,"وصول فروش",$I$36:$I$85,"&lt;&gt;لغو")</x:f>
        <x:v>50000000</x:v>
      </x:c>
      <x:c r="N11" s="82" t="n">
        <x:f>SUMIFS($H$36:$H$85,$B$36:$B$85,"&gt;="&amp;N$8,$B$36:$B$85,"&lt;"&amp;N$8+7,$D$36:$D$85,"ورودی",$E$36:$E$85,"وصول فروش",$I$36:$I$85,"&lt;&gt;لغو")</x:f>
        <x:v>52000000</x:v>
      </x:c>
    </x:row>
    <x:row r="12" ht="15" hidden="0" customHeight="1">
      <x:c r="A12" s="120" t="str">
        <x:v>سایر ورودی‌ها</x:v>
      </x:c>
      <x:c r="B12" s="82" t="n">
        <x:f>SUMIFS($H$36:$H$85,$B$36:$B$85,"&gt;="&amp;B$8,$B$36:$B$85,"&lt;"&amp;B$8+7,$D$36:$D$85,"ورودی",$E$36:$E$85,"&lt;&gt;وصول فروش",$I$36:$I$85,"&lt;&gt;لغو")</x:f>
        <x:v>0</x:v>
      </x:c>
      <x:c r="C12" s="82" t="n">
        <x:f>SUMIFS($H$36:$H$85,$B$36:$B$85,"&gt;="&amp;C$8,$B$36:$B$85,"&lt;"&amp;C$8+7,$D$36:$D$85,"ورودی",$E$36:$E$85,"&lt;&gt;وصول فروش",$I$36:$I$85,"&lt;&gt;لغو")</x:f>
        <x:v>0</x:v>
      </x:c>
      <x:c r="D12" s="82" t="n">
        <x:f>SUMIFS($H$36:$H$85,$B$36:$B$85,"&gt;="&amp;D$8,$B$36:$B$85,"&lt;"&amp;D$8+7,$D$36:$D$85,"ورودی",$E$36:$E$85,"&lt;&gt;وصول فروش",$I$36:$I$85,"&lt;&gt;لغو")</x:f>
        <x:v>0</x:v>
      </x:c>
      <x:c r="E12" s="82" t="n">
        <x:f>SUMIFS($H$36:$H$85,$B$36:$B$85,"&gt;="&amp;E$8,$B$36:$B$85,"&lt;"&amp;E$8+7,$D$36:$D$85,"ورودی",$E$36:$E$85,"&lt;&gt;وصول فروش",$I$36:$I$85,"&lt;&gt;لغو")</x:f>
        <x:v>0</x:v>
      </x:c>
      <x:c r="F12" s="82" t="n">
        <x:f>SUMIFS($H$36:$H$85,$B$36:$B$85,"&gt;="&amp;F$8,$B$36:$B$85,"&lt;"&amp;F$8+7,$D$36:$D$85,"ورودی",$E$36:$E$85,"&lt;&gt;وصول فروش",$I$36:$I$85,"&lt;&gt;لغو")</x:f>
        <x:v>0</x:v>
      </x:c>
      <x:c r="G12" s="82" t="n">
        <x:f>SUMIFS($H$36:$H$85,$B$36:$B$85,"&gt;="&amp;G$8,$B$36:$B$85,"&lt;"&amp;G$8+7,$D$36:$D$85,"ورودی",$E$36:$E$85,"&lt;&gt;وصول فروش",$I$36:$I$85,"&lt;&gt;لغو")</x:f>
        <x:v>0</x:v>
      </x:c>
      <x:c r="H12" s="82" t="n">
        <x:f>SUMIFS($H$36:$H$85,$B$36:$B$85,"&gt;="&amp;H$8,$B$36:$B$85,"&lt;"&amp;H$8+7,$D$36:$D$85,"ورودی",$E$36:$E$85,"&lt;&gt;وصول فروش",$I$36:$I$85,"&lt;&gt;لغو")</x:f>
        <x:v>0</x:v>
      </x:c>
      <x:c r="I12" s="82" t="n">
        <x:f>SUMIFS($H$36:$H$85,$B$36:$B$85,"&gt;="&amp;I$8,$B$36:$B$85,"&lt;"&amp;I$8+7,$D$36:$D$85,"ورودی",$E$36:$E$85,"&lt;&gt;وصول فروش",$I$36:$I$85,"&lt;&gt;لغو")</x:f>
        <x:v>0</x:v>
      </x:c>
      <x:c r="J12" s="82" t="n">
        <x:f>SUMIFS($H$36:$H$85,$B$36:$B$85,"&gt;="&amp;J$8,$B$36:$B$85,"&lt;"&amp;J$8+7,$D$36:$D$85,"ورودی",$E$36:$E$85,"&lt;&gt;وصول فروش",$I$36:$I$85,"&lt;&gt;لغو")</x:f>
        <x:v>0</x:v>
      </x:c>
      <x:c r="K12" s="82" t="n">
        <x:f>SUMIFS($H$36:$H$85,$B$36:$B$85,"&gt;="&amp;K$8,$B$36:$B$85,"&lt;"&amp;K$8+7,$D$36:$D$85,"ورودی",$E$36:$E$85,"&lt;&gt;وصول فروش",$I$36:$I$85,"&lt;&gt;لغو")</x:f>
        <x:v>0</x:v>
      </x:c>
      <x:c r="L12" s="82" t="n">
        <x:f>SUMIFS($H$36:$H$85,$B$36:$B$85,"&gt;="&amp;L$8,$B$36:$B$85,"&lt;"&amp;L$8+7,$D$36:$D$85,"ورودی",$E$36:$E$85,"&lt;&gt;وصول فروش",$I$36:$I$85,"&lt;&gt;لغو")</x:f>
        <x:v>0</x:v>
      </x:c>
      <x:c r="M12" s="82" t="n">
        <x:f>SUMIFS($H$36:$H$85,$B$36:$B$85,"&gt;="&amp;M$8,$B$36:$B$85,"&lt;"&amp;M$8+7,$D$36:$D$85,"ورودی",$E$36:$E$85,"&lt;&gt;وصول فروش",$I$36:$I$85,"&lt;&gt;لغو")</x:f>
        <x:v>0</x:v>
      </x:c>
      <x:c r="N12" s="82" t="n">
        <x:f>SUMIFS($H$36:$H$85,$B$36:$B$85,"&gt;="&amp;N$8,$B$36:$B$85,"&lt;"&amp;N$8+7,$D$36:$D$85,"ورودی",$E$36:$E$85,"&lt;&gt;وصول فروش",$I$36:$I$85,"&lt;&gt;لغو")</x:f>
        <x:v>0</x:v>
      </x:c>
    </x:row>
    <x:row r="13" ht="15" hidden="0" customHeight="1">
      <x:c r="A13" s="121" t="str">
        <x:v>جمع ورودی</x:v>
      </x:c>
      <x:c r="B13" s="122" t="n">
        <x:f>SUM(B11:B12)</x:f>
        <x:v>35000000</x:v>
      </x:c>
      <x:c r="C13" s="122" t="n">
        <x:f>SUM(C11:C12)</x:f>
        <x:v>38000000</x:v>
      </x:c>
      <x:c r="D13" s="122" t="n">
        <x:f>SUM(D11:D12)</x:f>
        <x:v>40000000</x:v>
      </x:c>
      <x:c r="E13" s="122" t="n">
        <x:f>SUM(E11:E12)</x:f>
        <x:v>42000000</x:v>
      </x:c>
      <x:c r="F13" s="122" t="n">
        <x:f>SUM(F11:F12)</x:f>
        <x:v>43000000</x:v>
      </x:c>
      <x:c r="G13" s="122" t="n">
        <x:f>SUM(G11:G12)</x:f>
        <x:v>44000000</x:v>
      </x:c>
      <x:c r="H13" s="122" t="n">
        <x:f>SUM(H11:H12)</x:f>
        <x:v>45000000</x:v>
      </x:c>
      <x:c r="I13" s="122" t="n">
        <x:f>SUM(I11:I12)</x:f>
        <x:v>46000000</x:v>
      </x:c>
      <x:c r="J13" s="122" t="n">
        <x:f>SUM(J11:J12)</x:f>
        <x:v>47000000</x:v>
      </x:c>
      <x:c r="K13" s="122" t="n">
        <x:f>SUM(K11:K12)</x:f>
        <x:v>48000000</x:v>
      </x:c>
      <x:c r="L13" s="122" t="n">
        <x:f>SUM(L11:L12)</x:f>
        <x:v>49000000</x:v>
      </x:c>
      <x:c r="M13" s="122" t="n">
        <x:f>SUM(M11:M12)</x:f>
        <x:v>50000000</x:v>
      </x:c>
      <x:c r="N13" s="122" t="n">
        <x:f>SUM(N11:N12)</x:f>
        <x:v>52000000</x:v>
      </x:c>
    </x:row>
    <x:row r="14" ht="15" hidden="0" customHeight="1">
      <x:c r="A14" s="120" t="str"/>
      <x:c r="B14" s="82"/>
      <x:c r="C14" s="82"/>
      <x:c r="D14" s="82"/>
      <x:c r="E14" s="82"/>
      <x:c r="F14" s="82"/>
      <x:c r="G14" s="82"/>
      <x:c r="H14" s="82"/>
      <x:c r="I14" s="82"/>
      <x:c r="J14" s="82"/>
      <x:c r="K14" s="82"/>
      <x:c r="L14" s="82"/>
      <x:c r="M14" s="82"/>
      <x:c r="N14" s="82"/>
    </x:row>
    <x:row r="15" ht="15" hidden="0" customHeight="1">
      <x:c r="A15" s="120" t="str">
        <x:v>پرداخت تولید و تأمین‌کننده</x:v>
      </x:c>
      <x:c r="B15" s="82" t="n">
        <x:f>SUMIFS($H$36:$H$85,$B$36:$B$85,"&gt;="&amp;B$8,$B$36:$B$85,"&lt;"&amp;B$8+7,$D$36:$D$85,"خروجی",$E$36:$E$85,"تولید و تأمین‌کننده",$I$36:$I$85,"&lt;&gt;لغو")</x:f>
        <x:v>100000000</x:v>
      </x:c>
      <x:c r="C15" s="82" t="n">
        <x:f>SUMIFS($H$36:$H$85,$B$36:$B$85,"&gt;="&amp;C$8,$B$36:$B$85,"&lt;"&amp;C$8+7,$D$36:$D$85,"خروجی",$E$36:$E$85,"تولید و تأمین‌کننده",$I$36:$I$85,"&lt;&gt;لغو")</x:f>
        <x:v>0</x:v>
      </x:c>
      <x:c r="D15" s="82" t="n">
        <x:f>SUMIFS($H$36:$H$85,$B$36:$B$85,"&gt;="&amp;D$8,$B$36:$B$85,"&lt;"&amp;D$8+7,$D$36:$D$85,"خروجی",$E$36:$E$85,"تولید و تأمین‌کننده",$I$36:$I$85,"&lt;&gt;لغو")</x:f>
        <x:v>0</x:v>
      </x:c>
      <x:c r="E15" s="82" t="n">
        <x:f>SUMIFS($H$36:$H$85,$B$36:$B$85,"&gt;="&amp;E$8,$B$36:$B$85,"&lt;"&amp;E$8+7,$D$36:$D$85,"خروجی",$E$36:$E$85,"تولید و تأمین‌کننده",$I$36:$I$85,"&lt;&gt;لغو")</x:f>
        <x:v>0</x:v>
      </x:c>
      <x:c r="F15" s="82" t="n">
        <x:f>SUMIFS($H$36:$H$85,$B$36:$B$85,"&gt;="&amp;F$8,$B$36:$B$85,"&lt;"&amp;F$8+7,$D$36:$D$85,"خروجی",$E$36:$E$85,"تولید و تأمین‌کننده",$I$36:$I$85,"&lt;&gt;لغو")</x:f>
        <x:v>100000000</x:v>
      </x:c>
      <x:c r="G15" s="82" t="n">
        <x:f>SUMIFS($H$36:$H$85,$B$36:$B$85,"&gt;="&amp;G$8,$B$36:$B$85,"&lt;"&amp;G$8+7,$D$36:$D$85,"خروجی",$E$36:$E$85,"تولید و تأمین‌کننده",$I$36:$I$85,"&lt;&gt;لغو")</x:f>
        <x:v>0</x:v>
      </x:c>
      <x:c r="H15" s="82" t="n">
        <x:f>SUMIFS($H$36:$H$85,$B$36:$B$85,"&gt;="&amp;H$8,$B$36:$B$85,"&lt;"&amp;H$8+7,$D$36:$D$85,"خروجی",$E$36:$E$85,"تولید و تأمین‌کننده",$I$36:$I$85,"&lt;&gt;لغو")</x:f>
        <x:v>0</x:v>
      </x:c>
      <x:c r="I15" s="82" t="n">
        <x:f>SUMIFS($H$36:$H$85,$B$36:$B$85,"&gt;="&amp;I$8,$B$36:$B$85,"&lt;"&amp;I$8+7,$D$36:$D$85,"خروجی",$E$36:$E$85,"تولید و تأمین‌کننده",$I$36:$I$85,"&lt;&gt;لغو")</x:f>
        <x:v>0</x:v>
      </x:c>
      <x:c r="J15" s="82" t="n">
        <x:f>SUMIFS($H$36:$H$85,$B$36:$B$85,"&gt;="&amp;J$8,$B$36:$B$85,"&lt;"&amp;J$8+7,$D$36:$D$85,"خروجی",$E$36:$E$85,"تولید و تأمین‌کننده",$I$36:$I$85,"&lt;&gt;لغو")</x:f>
        <x:v>100000000</x:v>
      </x:c>
      <x:c r="K15" s="82" t="n">
        <x:f>SUMIFS($H$36:$H$85,$B$36:$B$85,"&gt;="&amp;K$8,$B$36:$B$85,"&lt;"&amp;K$8+7,$D$36:$D$85,"خروجی",$E$36:$E$85,"تولید و تأمین‌کننده",$I$36:$I$85,"&lt;&gt;لغو")</x:f>
        <x:v>0</x:v>
      </x:c>
      <x:c r="L15" s="82" t="n">
        <x:f>SUMIFS($H$36:$H$85,$B$36:$B$85,"&gt;="&amp;L$8,$B$36:$B$85,"&lt;"&amp;L$8+7,$D$36:$D$85,"خروجی",$E$36:$E$85,"تولید و تأمین‌کننده",$I$36:$I$85,"&lt;&gt;لغو")</x:f>
        <x:v>0</x:v>
      </x:c>
      <x:c r="M15" s="82" t="n">
        <x:f>SUMIFS($H$36:$H$85,$B$36:$B$85,"&gt;="&amp;M$8,$B$36:$B$85,"&lt;"&amp;M$8+7,$D$36:$D$85,"خروجی",$E$36:$E$85,"تولید و تأمین‌کننده",$I$36:$I$85,"&lt;&gt;لغو")</x:f>
        <x:v>0</x:v>
      </x:c>
      <x:c r="N15" s="82" t="n">
        <x:f>SUMIFS($H$36:$H$85,$B$36:$B$85,"&gt;="&amp;N$8,$B$36:$B$85,"&lt;"&amp;N$8+7,$D$36:$D$85,"خروجی",$E$36:$E$85,"تولید و تأمین‌کننده",$I$36:$I$85,"&lt;&gt;لغو")</x:f>
        <x:v>0</x:v>
      </x:c>
    </x:row>
    <x:row r="16" ht="15" hidden="0" customHeight="1">
      <x:c r="A16" s="120" t="str">
        <x:v>بسته‌بندی و لجستیک</x:v>
      </x:c>
      <x:c r="B16" s="82" t="n">
        <x:f>SUMIFS($H$36:$H$85,$B$36:$B$85,"&gt;="&amp;B$8,$B$36:$B$85,"&lt;"&amp;B$8+7,$D$36:$D$85,"خروجی",$E$36:$E$85,"بسته‌بندی و لجستیک",$I$36:$I$85,"&lt;&gt;لغو")</x:f>
        <x:v>0</x:v>
      </x:c>
      <x:c r="C16" s="82" t="n">
        <x:f>SUMIFS($H$36:$H$85,$B$36:$B$85,"&gt;="&amp;C$8,$B$36:$B$85,"&lt;"&amp;C$8+7,$D$36:$D$85,"خروجی",$E$36:$E$85,"بسته‌بندی و لجستیک",$I$36:$I$85,"&lt;&gt;لغو")</x:f>
        <x:v>0</x:v>
      </x:c>
      <x:c r="D16" s="82" t="n">
        <x:f>SUMIFS($H$36:$H$85,$B$36:$B$85,"&gt;="&amp;D$8,$B$36:$B$85,"&lt;"&amp;D$8+7,$D$36:$D$85,"خروجی",$E$36:$E$85,"بسته‌بندی و لجستیک",$I$36:$I$85,"&lt;&gt;لغو")</x:f>
        <x:v>0</x:v>
      </x:c>
      <x:c r="E16" s="82" t="n">
        <x:f>SUMIFS($H$36:$H$85,$B$36:$B$85,"&gt;="&amp;E$8,$B$36:$B$85,"&lt;"&amp;E$8+7,$D$36:$D$85,"خروجی",$E$36:$E$85,"بسته‌بندی و لجستیک",$I$36:$I$85,"&lt;&gt;لغو")</x:f>
        <x:v>0</x:v>
      </x:c>
      <x:c r="F16" s="82" t="n">
        <x:f>SUMIFS($H$36:$H$85,$B$36:$B$85,"&gt;="&amp;F$8,$B$36:$B$85,"&lt;"&amp;F$8+7,$D$36:$D$85,"خروجی",$E$36:$E$85,"بسته‌بندی و لجستیک",$I$36:$I$85,"&lt;&gt;لغو")</x:f>
        <x:v>0</x:v>
      </x:c>
      <x:c r="G16" s="82" t="n">
        <x:f>SUMIFS($H$36:$H$85,$B$36:$B$85,"&gt;="&amp;G$8,$B$36:$B$85,"&lt;"&amp;G$8+7,$D$36:$D$85,"خروجی",$E$36:$E$85,"بسته‌بندی و لجستیک",$I$36:$I$85,"&lt;&gt;لغو")</x:f>
        <x:v>0</x:v>
      </x:c>
      <x:c r="H16" s="82" t="n">
        <x:f>SUMIFS($H$36:$H$85,$B$36:$B$85,"&gt;="&amp;H$8,$B$36:$B$85,"&lt;"&amp;H$8+7,$D$36:$D$85,"خروجی",$E$36:$E$85,"بسته‌بندی و لجستیک",$I$36:$I$85,"&lt;&gt;لغو")</x:f>
        <x:v>0</x:v>
      </x:c>
      <x:c r="I16" s="82" t="n">
        <x:f>SUMIFS($H$36:$H$85,$B$36:$B$85,"&gt;="&amp;I$8,$B$36:$B$85,"&lt;"&amp;I$8+7,$D$36:$D$85,"خروجی",$E$36:$E$85,"بسته‌بندی و لجستیک",$I$36:$I$85,"&lt;&gt;لغو")</x:f>
        <x:v>0</x:v>
      </x:c>
      <x:c r="J16" s="82" t="n">
        <x:f>SUMIFS($H$36:$H$85,$B$36:$B$85,"&gt;="&amp;J$8,$B$36:$B$85,"&lt;"&amp;J$8+7,$D$36:$D$85,"خروجی",$E$36:$E$85,"بسته‌بندی و لجستیک",$I$36:$I$85,"&lt;&gt;لغو")</x:f>
        <x:v>0</x:v>
      </x:c>
      <x:c r="K16" s="82" t="n">
        <x:f>SUMIFS($H$36:$H$85,$B$36:$B$85,"&gt;="&amp;K$8,$B$36:$B$85,"&lt;"&amp;K$8+7,$D$36:$D$85,"خروجی",$E$36:$E$85,"بسته‌بندی و لجستیک",$I$36:$I$85,"&lt;&gt;لغو")</x:f>
        <x:v>0</x:v>
      </x:c>
      <x:c r="L16" s="82" t="n">
        <x:f>SUMIFS($H$36:$H$85,$B$36:$B$85,"&gt;="&amp;L$8,$B$36:$B$85,"&lt;"&amp;L$8+7,$D$36:$D$85,"خروجی",$E$36:$E$85,"بسته‌بندی و لجستیک",$I$36:$I$85,"&lt;&gt;لغو")</x:f>
        <x:v>0</x:v>
      </x:c>
      <x:c r="M16" s="82" t="n">
        <x:f>SUMIFS($H$36:$H$85,$B$36:$B$85,"&gt;="&amp;M$8,$B$36:$B$85,"&lt;"&amp;M$8+7,$D$36:$D$85,"خروجی",$E$36:$E$85,"بسته‌بندی و لجستیک",$I$36:$I$85,"&lt;&gt;لغو")</x:f>
        <x:v>0</x:v>
      </x:c>
      <x:c r="N16" s="82" t="n">
        <x:f>SUMIFS($H$36:$H$85,$B$36:$B$85,"&gt;="&amp;N$8,$B$36:$B$85,"&lt;"&amp;N$8+7,$D$36:$D$85,"خروجی",$E$36:$E$85,"بسته‌بندی و لجستیک",$I$36:$I$85,"&lt;&gt;لغو")</x:f>
        <x:v>0</x:v>
      </x:c>
    </x:row>
    <x:row r="17" ht="15" hidden="0" customHeight="1">
      <x:c r="A17" s="120" t="str">
        <x:v>بازاریابی و جذب</x:v>
      </x:c>
      <x:c r="B17" s="82" t="n">
        <x:f>SUMIFS($H$36:$H$85,$B$36:$B$85,"&gt;="&amp;B$8,$B$36:$B$85,"&lt;"&amp;B$8+7,$D$36:$D$85,"خروجی",$E$36:$E$85,"بازاریابی و جذب",$I$36:$I$85,"&lt;&gt;لغو")</x:f>
        <x:v>20000000</x:v>
      </x:c>
      <x:c r="C17" s="82" t="n">
        <x:f>SUMIFS($H$36:$H$85,$B$36:$B$85,"&gt;="&amp;C$8,$B$36:$B$85,"&lt;"&amp;C$8+7,$D$36:$D$85,"خروجی",$E$36:$E$85,"بازاریابی و جذب",$I$36:$I$85,"&lt;&gt;لغو")</x:f>
        <x:v>20000000</x:v>
      </x:c>
      <x:c r="D17" s="82" t="n">
        <x:f>SUMIFS($H$36:$H$85,$B$36:$B$85,"&gt;="&amp;D$8,$B$36:$B$85,"&lt;"&amp;D$8+7,$D$36:$D$85,"خروجی",$E$36:$E$85,"بازاریابی و جذب",$I$36:$I$85,"&lt;&gt;لغو")</x:f>
        <x:v>20000000</x:v>
      </x:c>
      <x:c r="E17" s="82" t="n">
        <x:f>SUMIFS($H$36:$H$85,$B$36:$B$85,"&gt;="&amp;E$8,$B$36:$B$85,"&lt;"&amp;E$8+7,$D$36:$D$85,"خروجی",$E$36:$E$85,"بازاریابی و جذب",$I$36:$I$85,"&lt;&gt;لغو")</x:f>
        <x:v>20000000</x:v>
      </x:c>
      <x:c r="F17" s="82" t="n">
        <x:f>SUMIFS($H$36:$H$85,$B$36:$B$85,"&gt;="&amp;F$8,$B$36:$B$85,"&lt;"&amp;F$8+7,$D$36:$D$85,"خروجی",$E$36:$E$85,"بازاریابی و جذب",$I$36:$I$85,"&lt;&gt;لغو")</x:f>
        <x:v>20000000</x:v>
      </x:c>
      <x:c r="G17" s="82" t="n">
        <x:f>SUMIFS($H$36:$H$85,$B$36:$B$85,"&gt;="&amp;G$8,$B$36:$B$85,"&lt;"&amp;G$8+7,$D$36:$D$85,"خروجی",$E$36:$E$85,"بازاریابی و جذب",$I$36:$I$85,"&lt;&gt;لغو")</x:f>
        <x:v>20000000</x:v>
      </x:c>
      <x:c r="H17" s="82" t="n">
        <x:f>SUMIFS($H$36:$H$85,$B$36:$B$85,"&gt;="&amp;H$8,$B$36:$B$85,"&lt;"&amp;H$8+7,$D$36:$D$85,"خروجی",$E$36:$E$85,"بازاریابی و جذب",$I$36:$I$85,"&lt;&gt;لغو")</x:f>
        <x:v>20000000</x:v>
      </x:c>
      <x:c r="I17" s="82" t="n">
        <x:f>SUMIFS($H$36:$H$85,$B$36:$B$85,"&gt;="&amp;I$8,$B$36:$B$85,"&lt;"&amp;I$8+7,$D$36:$D$85,"خروجی",$E$36:$E$85,"بازاریابی و جذب",$I$36:$I$85,"&lt;&gt;لغو")</x:f>
        <x:v>20000000</x:v>
      </x:c>
      <x:c r="J17" s="82" t="n">
        <x:f>SUMIFS($H$36:$H$85,$B$36:$B$85,"&gt;="&amp;J$8,$B$36:$B$85,"&lt;"&amp;J$8+7,$D$36:$D$85,"خروجی",$E$36:$E$85,"بازاریابی و جذب",$I$36:$I$85,"&lt;&gt;لغو")</x:f>
        <x:v>20000000</x:v>
      </x:c>
      <x:c r="K17" s="82" t="n">
        <x:f>SUMIFS($H$36:$H$85,$B$36:$B$85,"&gt;="&amp;K$8,$B$36:$B$85,"&lt;"&amp;K$8+7,$D$36:$D$85,"خروجی",$E$36:$E$85,"بازاریابی و جذب",$I$36:$I$85,"&lt;&gt;لغو")</x:f>
        <x:v>20000000</x:v>
      </x:c>
      <x:c r="L17" s="82" t="n">
        <x:f>SUMIFS($H$36:$H$85,$B$36:$B$85,"&gt;="&amp;L$8,$B$36:$B$85,"&lt;"&amp;L$8+7,$D$36:$D$85,"خروجی",$E$36:$E$85,"بازاریابی و جذب",$I$36:$I$85,"&lt;&gt;لغو")</x:f>
        <x:v>20000000</x:v>
      </x:c>
      <x:c r="M17" s="82" t="n">
        <x:f>SUMIFS($H$36:$H$85,$B$36:$B$85,"&gt;="&amp;M$8,$B$36:$B$85,"&lt;"&amp;M$8+7,$D$36:$D$85,"خروجی",$E$36:$E$85,"بازاریابی و جذب",$I$36:$I$85,"&lt;&gt;لغو")</x:f>
        <x:v>20000000</x:v>
      </x:c>
      <x:c r="N17" s="82" t="n">
        <x:f>SUMIFS($H$36:$H$85,$B$36:$B$85,"&gt;="&amp;N$8,$B$36:$B$85,"&lt;"&amp;N$8+7,$D$36:$D$85,"خروجی",$E$36:$E$85,"بازاریابی و جذب",$I$36:$I$85,"&lt;&gt;لغو")</x:f>
        <x:v>20000000</x:v>
      </x:c>
    </x:row>
    <x:row r="18" ht="15" hidden="0" customHeight="1">
      <x:c r="A18" s="120" t="str">
        <x:v>ثابت و اداری</x:v>
      </x:c>
      <x:c r="B18" s="82" t="n">
        <x:f>SUMIFS($H$36:$H$85,$B$36:$B$85,"&gt;="&amp;B$8,$B$36:$B$85,"&lt;"&amp;B$8+7,$D$36:$D$85,"خروجی",$E$36:$E$85,"ثابت و اداری",$I$36:$I$85,"&lt;&gt;لغو")</x:f>
        <x:v>8000000</x:v>
      </x:c>
      <x:c r="C18" s="82" t="n">
        <x:f>SUMIFS($H$36:$H$85,$B$36:$B$85,"&gt;="&amp;C$8,$B$36:$B$85,"&lt;"&amp;C$8+7,$D$36:$D$85,"خروجی",$E$36:$E$85,"ثابت و اداری",$I$36:$I$85,"&lt;&gt;لغو")</x:f>
        <x:v>8000000</x:v>
      </x:c>
      <x:c r="D18" s="82" t="n">
        <x:f>SUMIFS($H$36:$H$85,$B$36:$B$85,"&gt;="&amp;D$8,$B$36:$B$85,"&lt;"&amp;D$8+7,$D$36:$D$85,"خروجی",$E$36:$E$85,"ثابت و اداری",$I$36:$I$85,"&lt;&gt;لغو")</x:f>
        <x:v>8000000</x:v>
      </x:c>
      <x:c r="E18" s="82" t="n">
        <x:f>SUMIFS($H$36:$H$85,$B$36:$B$85,"&gt;="&amp;E$8,$B$36:$B$85,"&lt;"&amp;E$8+7,$D$36:$D$85,"خروجی",$E$36:$E$85,"ثابت و اداری",$I$36:$I$85,"&lt;&gt;لغو")</x:f>
        <x:v>8000000</x:v>
      </x:c>
      <x:c r="F18" s="82" t="n">
        <x:f>SUMIFS($H$36:$H$85,$B$36:$B$85,"&gt;="&amp;F$8,$B$36:$B$85,"&lt;"&amp;F$8+7,$D$36:$D$85,"خروجی",$E$36:$E$85,"ثابت و اداری",$I$36:$I$85,"&lt;&gt;لغو")</x:f>
        <x:v>8000000</x:v>
      </x:c>
      <x:c r="G18" s="82" t="n">
        <x:f>SUMIFS($H$36:$H$85,$B$36:$B$85,"&gt;="&amp;G$8,$B$36:$B$85,"&lt;"&amp;G$8+7,$D$36:$D$85,"خروجی",$E$36:$E$85,"ثابت و اداری",$I$36:$I$85,"&lt;&gt;لغو")</x:f>
        <x:v>8000000</x:v>
      </x:c>
      <x:c r="H18" s="82" t="n">
        <x:f>SUMIFS($H$36:$H$85,$B$36:$B$85,"&gt;="&amp;H$8,$B$36:$B$85,"&lt;"&amp;H$8+7,$D$36:$D$85,"خروجی",$E$36:$E$85,"ثابت و اداری",$I$36:$I$85,"&lt;&gt;لغو")</x:f>
        <x:v>8000000</x:v>
      </x:c>
      <x:c r="I18" s="82" t="n">
        <x:f>SUMIFS($H$36:$H$85,$B$36:$B$85,"&gt;="&amp;I$8,$B$36:$B$85,"&lt;"&amp;I$8+7,$D$36:$D$85,"خروجی",$E$36:$E$85,"ثابت و اداری",$I$36:$I$85,"&lt;&gt;لغو")</x:f>
        <x:v>8000000</x:v>
      </x:c>
      <x:c r="J18" s="82" t="n">
        <x:f>SUMIFS($H$36:$H$85,$B$36:$B$85,"&gt;="&amp;J$8,$B$36:$B$85,"&lt;"&amp;J$8+7,$D$36:$D$85,"خروجی",$E$36:$E$85,"ثابت و اداری",$I$36:$I$85,"&lt;&gt;لغو")</x:f>
        <x:v>8000000</x:v>
      </x:c>
      <x:c r="K18" s="82" t="n">
        <x:f>SUMIFS($H$36:$H$85,$B$36:$B$85,"&gt;="&amp;K$8,$B$36:$B$85,"&lt;"&amp;K$8+7,$D$36:$D$85,"خروجی",$E$36:$E$85,"ثابت و اداری",$I$36:$I$85,"&lt;&gt;لغو")</x:f>
        <x:v>8000000</x:v>
      </x:c>
      <x:c r="L18" s="82" t="n">
        <x:f>SUMIFS($H$36:$H$85,$B$36:$B$85,"&gt;="&amp;L$8,$B$36:$B$85,"&lt;"&amp;L$8+7,$D$36:$D$85,"خروجی",$E$36:$E$85,"ثابت و اداری",$I$36:$I$85,"&lt;&gt;لغو")</x:f>
        <x:v>8000000</x:v>
      </x:c>
      <x:c r="M18" s="82" t="n">
        <x:f>SUMIFS($H$36:$H$85,$B$36:$B$85,"&gt;="&amp;M$8,$B$36:$B$85,"&lt;"&amp;M$8+7,$D$36:$D$85,"خروجی",$E$36:$E$85,"ثابت و اداری",$I$36:$I$85,"&lt;&gt;لغو")</x:f>
        <x:v>8000000</x:v>
      </x:c>
      <x:c r="N18" s="82" t="n">
        <x:f>SUMIFS($H$36:$H$85,$B$36:$B$85,"&gt;="&amp;N$8,$B$36:$B$85,"&lt;"&amp;N$8+7,$D$36:$D$85,"خروجی",$E$36:$E$85,"ثابت و اداری",$I$36:$I$85,"&lt;&gt;لغو")</x:f>
        <x:v>8000000</x:v>
      </x:c>
    </x:row>
    <x:row r="19" ht="15" hidden="0" customHeight="1">
      <x:c r="A19" s="120" t="str">
        <x:v>مالیات و حقوقی</x:v>
      </x:c>
      <x:c r="B19" s="82" t="n">
        <x:f>SUMIFS($H$36:$H$85,$B$36:$B$85,"&gt;="&amp;B$8,$B$36:$B$85,"&lt;"&amp;B$8+7,$D$36:$D$85,"خروجی",$E$36:$E$85,"مالیات و حقوقی",$I$36:$I$85,"&lt;&gt;لغو")</x:f>
        <x:v>0</x:v>
      </x:c>
      <x:c r="C19" s="82" t="n">
        <x:f>SUMIFS($H$36:$H$85,$B$36:$B$85,"&gt;="&amp;C$8,$B$36:$B$85,"&lt;"&amp;C$8+7,$D$36:$D$85,"خروجی",$E$36:$E$85,"مالیات و حقوقی",$I$36:$I$85,"&lt;&gt;لغو")</x:f>
        <x:v>0</x:v>
      </x:c>
      <x:c r="D19" s="82" t="n">
        <x:f>SUMIFS($H$36:$H$85,$B$36:$B$85,"&gt;="&amp;D$8,$B$36:$B$85,"&lt;"&amp;D$8+7,$D$36:$D$85,"خروجی",$E$36:$E$85,"مالیات و حقوقی",$I$36:$I$85,"&lt;&gt;لغو")</x:f>
        <x:v>0</x:v>
      </x:c>
      <x:c r="E19" s="82" t="n">
        <x:f>SUMIFS($H$36:$H$85,$B$36:$B$85,"&gt;="&amp;E$8,$B$36:$B$85,"&lt;"&amp;E$8+7,$D$36:$D$85,"خروجی",$E$36:$E$85,"مالیات و حقوقی",$I$36:$I$85,"&lt;&gt;لغو")</x:f>
        <x:v>0</x:v>
      </x:c>
      <x:c r="F19" s="82" t="n">
        <x:f>SUMIFS($H$36:$H$85,$B$36:$B$85,"&gt;="&amp;F$8,$B$36:$B$85,"&lt;"&amp;F$8+7,$D$36:$D$85,"خروجی",$E$36:$E$85,"مالیات و حقوقی",$I$36:$I$85,"&lt;&gt;لغو")</x:f>
        <x:v>0</x:v>
      </x:c>
      <x:c r="G19" s="82" t="n">
        <x:f>SUMIFS($H$36:$H$85,$B$36:$B$85,"&gt;="&amp;G$8,$B$36:$B$85,"&lt;"&amp;G$8+7,$D$36:$D$85,"خروجی",$E$36:$E$85,"مالیات و حقوقی",$I$36:$I$85,"&lt;&gt;لغو")</x:f>
        <x:v>0</x:v>
      </x:c>
      <x:c r="H19" s="82" t="n">
        <x:f>SUMIFS($H$36:$H$85,$B$36:$B$85,"&gt;="&amp;H$8,$B$36:$B$85,"&lt;"&amp;H$8+7,$D$36:$D$85,"خروجی",$E$36:$E$85,"مالیات و حقوقی",$I$36:$I$85,"&lt;&gt;لغو")</x:f>
        <x:v>0</x:v>
      </x:c>
      <x:c r="I19" s="82" t="n">
        <x:f>SUMIFS($H$36:$H$85,$B$36:$B$85,"&gt;="&amp;I$8,$B$36:$B$85,"&lt;"&amp;I$8+7,$D$36:$D$85,"خروجی",$E$36:$E$85,"مالیات و حقوقی",$I$36:$I$85,"&lt;&gt;لغو")</x:f>
        <x:v>0</x:v>
      </x:c>
      <x:c r="J19" s="82" t="n">
        <x:f>SUMIFS($H$36:$H$85,$B$36:$B$85,"&gt;="&amp;J$8,$B$36:$B$85,"&lt;"&amp;J$8+7,$D$36:$D$85,"خروجی",$E$36:$E$85,"مالیات و حقوقی",$I$36:$I$85,"&lt;&gt;لغو")</x:f>
        <x:v>0</x:v>
      </x:c>
      <x:c r="K19" s="82" t="n">
        <x:f>SUMIFS($H$36:$H$85,$B$36:$B$85,"&gt;="&amp;K$8,$B$36:$B$85,"&lt;"&amp;K$8+7,$D$36:$D$85,"خروجی",$E$36:$E$85,"مالیات و حقوقی",$I$36:$I$85,"&lt;&gt;لغو")</x:f>
        <x:v>0</x:v>
      </x:c>
      <x:c r="L19" s="82" t="n">
        <x:f>SUMIFS($H$36:$H$85,$B$36:$B$85,"&gt;="&amp;L$8,$B$36:$B$85,"&lt;"&amp;L$8+7,$D$36:$D$85,"خروجی",$E$36:$E$85,"مالیات و حقوقی",$I$36:$I$85,"&lt;&gt;لغو")</x:f>
        <x:v>0</x:v>
      </x:c>
      <x:c r="M19" s="82" t="n">
        <x:f>SUMIFS($H$36:$H$85,$B$36:$B$85,"&gt;="&amp;M$8,$B$36:$B$85,"&lt;"&amp;M$8+7,$D$36:$D$85,"خروجی",$E$36:$E$85,"مالیات و حقوقی",$I$36:$I$85,"&lt;&gt;لغو")</x:f>
        <x:v>0</x:v>
      </x:c>
      <x:c r="N19" s="82" t="n">
        <x:f>SUMIFS($H$36:$H$85,$B$36:$B$85,"&gt;="&amp;N$8,$B$36:$B$85,"&lt;"&amp;N$8+7,$D$36:$D$85,"خروجی",$E$36:$E$85,"مالیات و حقوقی",$I$36:$I$85,"&lt;&gt;لغو")</x:f>
        <x:v>0</x:v>
      </x:c>
    </x:row>
    <x:row r="20" ht="15" hidden="0" customHeight="1">
      <x:c r="A20" s="120" t="str">
        <x:v>مرجوعی، گارانتی و خدمت</x:v>
      </x:c>
      <x:c r="B20" s="82" t="n">
        <x:f>SUMIFS($H$36:$H$85,$B$36:$B$85,"&gt;="&amp;B$8,$B$36:$B$85,"&lt;"&amp;B$8+7,$D$36:$D$85,"خروجی",$E$36:$E$85,"مرجوعی، گارانتی و خدمت",$I$36:$I$85,"&lt;&gt;لغو")</x:f>
        <x:v>0</x:v>
      </x:c>
      <x:c r="C20" s="82" t="n">
        <x:f>SUMIFS($H$36:$H$85,$B$36:$B$85,"&gt;="&amp;C$8,$B$36:$B$85,"&lt;"&amp;C$8+7,$D$36:$D$85,"خروجی",$E$36:$E$85,"مرجوعی، گارانتی و خدمت",$I$36:$I$85,"&lt;&gt;لغو")</x:f>
        <x:v>0</x:v>
      </x:c>
      <x:c r="D20" s="82" t="n">
        <x:f>SUMIFS($H$36:$H$85,$B$36:$B$85,"&gt;="&amp;D$8,$B$36:$B$85,"&lt;"&amp;D$8+7,$D$36:$D$85,"خروجی",$E$36:$E$85,"مرجوعی، گارانتی و خدمت",$I$36:$I$85,"&lt;&gt;لغو")</x:f>
        <x:v>0</x:v>
      </x:c>
      <x:c r="E20" s="82" t="n">
        <x:f>SUMIFS($H$36:$H$85,$B$36:$B$85,"&gt;="&amp;E$8,$B$36:$B$85,"&lt;"&amp;E$8+7,$D$36:$D$85,"خروجی",$E$36:$E$85,"مرجوعی، گارانتی و خدمت",$I$36:$I$85,"&lt;&gt;لغو")</x:f>
        <x:v>3000000</x:v>
      </x:c>
      <x:c r="F20" s="82" t="n">
        <x:f>SUMIFS($H$36:$H$85,$B$36:$B$85,"&gt;="&amp;F$8,$B$36:$B$85,"&lt;"&amp;F$8+7,$D$36:$D$85,"خروجی",$E$36:$E$85,"مرجوعی، گارانتی و خدمت",$I$36:$I$85,"&lt;&gt;لغو")</x:f>
        <x:v>0</x:v>
      </x:c>
      <x:c r="G20" s="82" t="n">
        <x:f>SUMIFS($H$36:$H$85,$B$36:$B$85,"&gt;="&amp;G$8,$B$36:$B$85,"&lt;"&amp;G$8+7,$D$36:$D$85,"خروجی",$E$36:$E$85,"مرجوعی، گارانتی و خدمت",$I$36:$I$85,"&lt;&gt;لغو")</x:f>
        <x:v>0</x:v>
      </x:c>
      <x:c r="H20" s="82" t="n">
        <x:f>SUMIFS($H$36:$H$85,$B$36:$B$85,"&gt;="&amp;H$8,$B$36:$B$85,"&lt;"&amp;H$8+7,$D$36:$D$85,"خروجی",$E$36:$E$85,"مرجوعی، گارانتی و خدمت",$I$36:$I$85,"&lt;&gt;لغو")</x:f>
        <x:v>0</x:v>
      </x:c>
      <x:c r="I20" s="82" t="n">
        <x:f>SUMIFS($H$36:$H$85,$B$36:$B$85,"&gt;="&amp;I$8,$B$36:$B$85,"&lt;"&amp;I$8+7,$D$36:$D$85,"خروجی",$E$36:$E$85,"مرجوعی، گارانتی و خدمت",$I$36:$I$85,"&lt;&gt;لغو")</x:f>
        <x:v>3000000</x:v>
      </x:c>
      <x:c r="J20" s="82" t="n">
        <x:f>SUMIFS($H$36:$H$85,$B$36:$B$85,"&gt;="&amp;J$8,$B$36:$B$85,"&lt;"&amp;J$8+7,$D$36:$D$85,"خروجی",$E$36:$E$85,"مرجوعی، گارانتی و خدمت",$I$36:$I$85,"&lt;&gt;لغو")</x:f>
        <x:v>0</x:v>
      </x:c>
      <x:c r="K20" s="82" t="n">
        <x:f>SUMIFS($H$36:$H$85,$B$36:$B$85,"&gt;="&amp;K$8,$B$36:$B$85,"&lt;"&amp;K$8+7,$D$36:$D$85,"خروجی",$E$36:$E$85,"مرجوعی، گارانتی و خدمت",$I$36:$I$85,"&lt;&gt;لغو")</x:f>
        <x:v>0</x:v>
      </x:c>
      <x:c r="L20" s="82" t="n">
        <x:f>SUMIFS($H$36:$H$85,$B$36:$B$85,"&gt;="&amp;L$8,$B$36:$B$85,"&lt;"&amp;L$8+7,$D$36:$D$85,"خروجی",$E$36:$E$85,"مرجوعی، گارانتی و خدمت",$I$36:$I$85,"&lt;&gt;لغو")</x:f>
        <x:v>0</x:v>
      </x:c>
      <x:c r="M20" s="82" t="n">
        <x:f>SUMIFS($H$36:$H$85,$B$36:$B$85,"&gt;="&amp;M$8,$B$36:$B$85,"&lt;"&amp;M$8+7,$D$36:$D$85,"خروجی",$E$36:$E$85,"مرجوعی، گارانتی و خدمت",$I$36:$I$85,"&lt;&gt;لغو")</x:f>
        <x:v>3000000</x:v>
      </x:c>
      <x:c r="N20" s="82" t="n">
        <x:f>SUMIFS($H$36:$H$85,$B$36:$B$85,"&gt;="&amp;N$8,$B$36:$B$85,"&lt;"&amp;N$8+7,$D$36:$D$85,"خروجی",$E$36:$E$85,"مرجوعی، گارانتی و خدمت",$I$36:$I$85,"&lt;&gt;لغو")</x:f>
        <x:v>0</x:v>
      </x:c>
    </x:row>
    <x:row r="21" ht="15" hidden="0" customHeight="1">
      <x:c r="A21" s="120" t="str">
        <x:v>سرمایه‌گذاری و سایر</x:v>
      </x:c>
      <x:c r="B21" s="82" t="n">
        <x:f>SUMIFS($H$36:$H$85,$B$36:$B$85,"&gt;="&amp;B$8,$B$36:$B$85,"&lt;"&amp;B$8+7,$D$36:$D$85,"خروجی",$E$36:$E$85,"سرمایه‌گذاری و سایر",$I$36:$I$85,"&lt;&gt;لغو")</x:f>
        <x:v>0</x:v>
      </x:c>
      <x:c r="C21" s="82" t="n">
        <x:f>SUMIFS($H$36:$H$85,$B$36:$B$85,"&gt;="&amp;C$8,$B$36:$B$85,"&lt;"&amp;C$8+7,$D$36:$D$85,"خروجی",$E$36:$E$85,"سرمایه‌گذاری و سایر",$I$36:$I$85,"&lt;&gt;لغو")</x:f>
        <x:v>0</x:v>
      </x:c>
      <x:c r="D21" s="82" t="n">
        <x:f>SUMIFS($H$36:$H$85,$B$36:$B$85,"&gt;="&amp;D$8,$B$36:$B$85,"&lt;"&amp;D$8+7,$D$36:$D$85,"خروجی",$E$36:$E$85,"سرمایه‌گذاری و سایر",$I$36:$I$85,"&lt;&gt;لغو")</x:f>
        <x:v>0</x:v>
      </x:c>
      <x:c r="E21" s="82" t="n">
        <x:f>SUMIFS($H$36:$H$85,$B$36:$B$85,"&gt;="&amp;E$8,$B$36:$B$85,"&lt;"&amp;E$8+7,$D$36:$D$85,"خروجی",$E$36:$E$85,"سرمایه‌گذاری و سایر",$I$36:$I$85,"&lt;&gt;لغو")</x:f>
        <x:v>0</x:v>
      </x:c>
      <x:c r="F21" s="82" t="n">
        <x:f>SUMIFS($H$36:$H$85,$B$36:$B$85,"&gt;="&amp;F$8,$B$36:$B$85,"&lt;"&amp;F$8+7,$D$36:$D$85,"خروجی",$E$36:$E$85,"سرمایه‌گذاری و سایر",$I$36:$I$85,"&lt;&gt;لغو")</x:f>
        <x:v>0</x:v>
      </x:c>
      <x:c r="G21" s="82" t="n">
        <x:f>SUMIFS($H$36:$H$85,$B$36:$B$85,"&gt;="&amp;G$8,$B$36:$B$85,"&lt;"&amp;G$8+7,$D$36:$D$85,"خروجی",$E$36:$E$85,"سرمایه‌گذاری و سایر",$I$36:$I$85,"&lt;&gt;لغو")</x:f>
        <x:v>0</x:v>
      </x:c>
      <x:c r="H21" s="82" t="n">
        <x:f>SUMIFS($H$36:$H$85,$B$36:$B$85,"&gt;="&amp;H$8,$B$36:$B$85,"&lt;"&amp;H$8+7,$D$36:$D$85,"خروجی",$E$36:$E$85,"سرمایه‌گذاری و سایر",$I$36:$I$85,"&lt;&gt;لغو")</x:f>
        <x:v>0</x:v>
      </x:c>
      <x:c r="I21" s="82" t="n">
        <x:f>SUMIFS($H$36:$H$85,$B$36:$B$85,"&gt;="&amp;I$8,$B$36:$B$85,"&lt;"&amp;I$8+7,$D$36:$D$85,"خروجی",$E$36:$E$85,"سرمایه‌گذاری و سایر",$I$36:$I$85,"&lt;&gt;لغو")</x:f>
        <x:v>0</x:v>
      </x:c>
      <x:c r="J21" s="82" t="n">
        <x:f>SUMIFS($H$36:$H$85,$B$36:$B$85,"&gt;="&amp;J$8,$B$36:$B$85,"&lt;"&amp;J$8+7,$D$36:$D$85,"خروجی",$E$36:$E$85,"سرمایه‌گذاری و سایر",$I$36:$I$85,"&lt;&gt;لغو")</x:f>
        <x:v>0</x:v>
      </x:c>
      <x:c r="K21" s="82" t="n">
        <x:f>SUMIFS($H$36:$H$85,$B$36:$B$85,"&gt;="&amp;K$8,$B$36:$B$85,"&lt;"&amp;K$8+7,$D$36:$D$85,"خروجی",$E$36:$E$85,"سرمایه‌گذاری و سایر",$I$36:$I$85,"&lt;&gt;لغو")</x:f>
        <x:v>0</x:v>
      </x:c>
      <x:c r="L21" s="82" t="n">
        <x:f>SUMIFS($H$36:$H$85,$B$36:$B$85,"&gt;="&amp;L$8,$B$36:$B$85,"&lt;"&amp;L$8+7,$D$36:$D$85,"خروجی",$E$36:$E$85,"سرمایه‌گذاری و سایر",$I$36:$I$85,"&lt;&gt;لغو")</x:f>
        <x:v>0</x:v>
      </x:c>
      <x:c r="M21" s="82" t="n">
        <x:f>SUMIFS($H$36:$H$85,$B$36:$B$85,"&gt;="&amp;M$8,$B$36:$B$85,"&lt;"&amp;M$8+7,$D$36:$D$85,"خروجی",$E$36:$E$85,"سرمایه‌گذاری و سایر",$I$36:$I$85,"&lt;&gt;لغو")</x:f>
        <x:v>0</x:v>
      </x:c>
      <x:c r="N21" s="82" t="n">
        <x:f>SUMIFS($H$36:$H$85,$B$36:$B$85,"&gt;="&amp;N$8,$B$36:$B$85,"&lt;"&amp;N$8+7,$D$36:$D$85,"خروجی",$E$36:$E$85,"سرمایه‌گذاری و سایر",$I$36:$I$85,"&lt;&gt;لغو")</x:f>
        <x:v>0</x:v>
      </x:c>
    </x:row>
    <x:row r="22" ht="15" hidden="0" customHeight="1">
      <x:c r="A22" s="123" t="str">
        <x:v>جمع خروجی</x:v>
      </x:c>
      <x:c r="B22" s="124" t="n">
        <x:f>SUM(B15:B21)</x:f>
        <x:v>128000000</x:v>
      </x:c>
      <x:c r="C22" s="124" t="n">
        <x:f>SUM(C15:C21)</x:f>
        <x:v>28000000</x:v>
      </x:c>
      <x:c r="D22" s="124" t="n">
        <x:f>SUM(D15:D21)</x:f>
        <x:v>28000000</x:v>
      </x:c>
      <x:c r="E22" s="124" t="n">
        <x:f>SUM(E15:E21)</x:f>
        <x:v>31000000</x:v>
      </x:c>
      <x:c r="F22" s="124" t="n">
        <x:f>SUM(F15:F21)</x:f>
        <x:v>128000000</x:v>
      </x:c>
      <x:c r="G22" s="124" t="n">
        <x:f>SUM(G15:G21)</x:f>
        <x:v>28000000</x:v>
      </x:c>
      <x:c r="H22" s="124" t="n">
        <x:f>SUM(H15:H21)</x:f>
        <x:v>28000000</x:v>
      </x:c>
      <x:c r="I22" s="124" t="n">
        <x:f>SUM(I15:I21)</x:f>
        <x:v>31000000</x:v>
      </x:c>
      <x:c r="J22" s="124" t="n">
        <x:f>SUM(J15:J21)</x:f>
        <x:v>128000000</x:v>
      </x:c>
      <x:c r="K22" s="124" t="n">
        <x:f>SUM(K15:K21)</x:f>
        <x:v>28000000</x:v>
      </x:c>
      <x:c r="L22" s="124" t="n">
        <x:f>SUM(L15:L21)</x:f>
        <x:v>28000000</x:v>
      </x:c>
      <x:c r="M22" s="124" t="n">
        <x:f>SUM(M15:M21)</x:f>
        <x:v>31000000</x:v>
      </x:c>
      <x:c r="N22" s="124" t="n">
        <x:f>SUM(N15:N21)</x:f>
        <x:v>28000000</x:v>
      </x:c>
    </x:row>
    <x:row r="23" ht="15" hidden="0" customHeight="1">
      <x:c r="A23" s="120" t="str">
        <x:v>خالص جریان هفته</x:v>
      </x:c>
      <x:c r="B23" s="82" t="n">
        <x:f>B13-B22</x:f>
        <x:v>-93000000</x:v>
      </x:c>
      <x:c r="C23" s="82" t="n">
        <x:f>C13-C22</x:f>
        <x:v>10000000</x:v>
      </x:c>
      <x:c r="D23" s="82" t="n">
        <x:f>D13-D22</x:f>
        <x:v>12000000</x:v>
      </x:c>
      <x:c r="E23" s="82" t="n">
        <x:f>E13-E22</x:f>
        <x:v>11000000</x:v>
      </x:c>
      <x:c r="F23" s="82" t="n">
        <x:f>F13-F22</x:f>
        <x:v>-85000000</x:v>
      </x:c>
      <x:c r="G23" s="82" t="n">
        <x:f>G13-G22</x:f>
        <x:v>16000000</x:v>
      </x:c>
      <x:c r="H23" s="82" t="n">
        <x:f>H13-H22</x:f>
        <x:v>17000000</x:v>
      </x:c>
      <x:c r="I23" s="82" t="n">
        <x:f>I13-I22</x:f>
        <x:v>15000000</x:v>
      </x:c>
      <x:c r="J23" s="82" t="n">
        <x:f>J13-J22</x:f>
        <x:v>-81000000</x:v>
      </x:c>
      <x:c r="K23" s="82" t="n">
        <x:f>K13-K22</x:f>
        <x:v>20000000</x:v>
      </x:c>
      <x:c r="L23" s="82" t="n">
        <x:f>L13-L22</x:f>
        <x:v>21000000</x:v>
      </x:c>
      <x:c r="M23" s="82" t="n">
        <x:f>M13-M22</x:f>
        <x:v>19000000</x:v>
      </x:c>
      <x:c r="N23" s="82" t="n">
        <x:f>N13-N22</x:f>
        <x:v>24000000</x:v>
      </x:c>
    </x:row>
    <x:row r="24" ht="15" hidden="0" customHeight="1">
      <x:c r="A24" s="125" t="str">
        <x:v>مانده پایان هفته</x:v>
      </x:c>
      <x:c r="B24" s="126" t="n">
        <x:f>B10+B23</x:f>
        <x:v>207000000</x:v>
      </x:c>
      <x:c r="C24" s="126" t="n">
        <x:f>C10+C23</x:f>
        <x:v>217000000</x:v>
      </x:c>
      <x:c r="D24" s="126" t="n">
        <x:f>D10+D23</x:f>
        <x:v>229000000</x:v>
      </x:c>
      <x:c r="E24" s="126" t="n">
        <x:f>E10+E23</x:f>
        <x:v>240000000</x:v>
      </x:c>
      <x:c r="F24" s="126" t="n">
        <x:f>F10+F23</x:f>
        <x:v>155000000</x:v>
      </x:c>
      <x:c r="G24" s="126" t="n">
        <x:f>G10+G23</x:f>
        <x:v>171000000</x:v>
      </x:c>
      <x:c r="H24" s="126" t="n">
        <x:f>H10+H23</x:f>
        <x:v>188000000</x:v>
      </x:c>
      <x:c r="I24" s="126" t="n">
        <x:f>I10+I23</x:f>
        <x:v>203000000</x:v>
      </x:c>
      <x:c r="J24" s="126" t="n">
        <x:f>J10+J23</x:f>
        <x:v>122000000</x:v>
      </x:c>
      <x:c r="K24" s="126" t="n">
        <x:f>K10+K23</x:f>
        <x:v>142000000</x:v>
      </x:c>
      <x:c r="L24" s="126" t="n">
        <x:f>L10+L23</x:f>
        <x:v>163000000</x:v>
      </x:c>
      <x:c r="M24" s="126" t="n">
        <x:f>M10+M23</x:f>
        <x:v>182000000</x:v>
      </x:c>
      <x:c r="N24" s="126" t="n">
        <x:f>N10+N23</x:f>
        <x:v>206000000</x:v>
      </x:c>
    </x:row>
    <x:row r="25" ht="15" hidden="0" customHeight="1">
      <x:c r="A25" s="120" t="str">
        <x:v>حداقل مانده هدف</x:v>
      </x:c>
      <x:c r="B25" s="82" t="n">
        <x:f>'فرض‌ها و منابع'!$B$20</x:f>
        <x:v>100000000</x:v>
      </x:c>
      <x:c r="C25" s="82" t="n">
        <x:f>'فرض‌ها و منابع'!$B$20</x:f>
        <x:v>100000000</x:v>
      </x:c>
      <x:c r="D25" s="82" t="n">
        <x:f>'فرض‌ها و منابع'!$B$20</x:f>
        <x:v>100000000</x:v>
      </x:c>
      <x:c r="E25" s="82" t="n">
        <x:f>'فرض‌ها و منابع'!$B$20</x:f>
        <x:v>100000000</x:v>
      </x:c>
      <x:c r="F25" s="82" t="n">
        <x:f>'فرض‌ها و منابع'!$B$20</x:f>
        <x:v>100000000</x:v>
      </x:c>
      <x:c r="G25" s="82" t="n">
        <x:f>'فرض‌ها و منابع'!$B$20</x:f>
        <x:v>100000000</x:v>
      </x:c>
      <x:c r="H25" s="82" t="n">
        <x:f>'فرض‌ها و منابع'!$B$20</x:f>
        <x:v>100000000</x:v>
      </x:c>
      <x:c r="I25" s="82" t="n">
        <x:f>'فرض‌ها و منابع'!$B$20</x:f>
        <x:v>100000000</x:v>
      </x:c>
      <x:c r="J25" s="82" t="n">
        <x:f>'فرض‌ها و منابع'!$B$20</x:f>
        <x:v>100000000</x:v>
      </x:c>
      <x:c r="K25" s="82" t="n">
        <x:f>'فرض‌ها و منابع'!$B$20</x:f>
        <x:v>100000000</x:v>
      </x:c>
      <x:c r="L25" s="82" t="n">
        <x:f>'فرض‌ها و منابع'!$B$20</x:f>
        <x:v>100000000</x:v>
      </x:c>
      <x:c r="M25" s="82" t="n">
        <x:f>'فرض‌ها و منابع'!$B$20</x:f>
        <x:v>100000000</x:v>
      </x:c>
      <x:c r="N25" s="82" t="n">
        <x:f>'فرض‌ها و منابع'!$B$20</x:f>
        <x:v>100000000</x:v>
      </x:c>
    </x:row>
    <x:row r="26" ht="15" hidden="0" customHeight="1">
      <x:c r="A26" s="120" t="str">
        <x:v>فاصله تا کف نقد</x:v>
      </x:c>
      <x:c r="B26" s="82" t="n">
        <x:f>B24-B25</x:f>
        <x:v>107000000</x:v>
      </x:c>
      <x:c r="C26" s="82" t="n">
        <x:f>C24-C25</x:f>
        <x:v>117000000</x:v>
      </x:c>
      <x:c r="D26" s="82" t="n">
        <x:f>D24-D25</x:f>
        <x:v>129000000</x:v>
      </x:c>
      <x:c r="E26" s="82" t="n">
        <x:f>E24-E25</x:f>
        <x:v>140000000</x:v>
      </x:c>
      <x:c r="F26" s="82" t="n">
        <x:f>F24-F25</x:f>
        <x:v>55000000</x:v>
      </x:c>
      <x:c r="G26" s="82" t="n">
        <x:f>G24-G25</x:f>
        <x:v>71000000</x:v>
      </x:c>
      <x:c r="H26" s="82" t="n">
        <x:f>H24-H25</x:f>
        <x:v>88000000</x:v>
      </x:c>
      <x:c r="I26" s="82" t="n">
        <x:f>I24-I25</x:f>
        <x:v>103000000</x:v>
      </x:c>
      <x:c r="J26" s="82" t="n">
        <x:f>J24-J25</x:f>
        <x:v>22000000</x:v>
      </x:c>
      <x:c r="K26" s="82" t="n">
        <x:f>K24-K25</x:f>
        <x:v>42000000</x:v>
      </x:c>
      <x:c r="L26" s="82" t="n">
        <x:f>L24-L25</x:f>
        <x:v>63000000</x:v>
      </x:c>
      <x:c r="M26" s="82" t="n">
        <x:f>M24-M25</x:f>
        <x:v>82000000</x:v>
      </x:c>
      <x:c r="N26" s="82" t="n">
        <x:f>N24-N25</x:f>
        <x:v>106000000</x:v>
      </x:c>
    </x:row>
    <x:row r="27" ht="15" hidden="0" customHeight="1">
      <x:c r="A27" s="127" t="str">
        <x:v>وضعیت</x:v>
      </x:c>
      <x:c r="B27" s="128" t="str">
        <x:f>IF(B24="","خاکستری",IF(B24&lt;B25,"قرمز",IF(B24&lt;B25*1.25,"زرد","سبز")))</x:f>
        <x:v>سبز</x:v>
      </x:c>
      <x:c r="C27" s="128" t="str">
        <x:f>IF(C24="","خاکستری",IF(C24&lt;C25,"قرمز",IF(C24&lt;C25*1.25,"زرد","سبز")))</x:f>
        <x:v>سبز</x:v>
      </x:c>
      <x:c r="D27" s="128" t="str">
        <x:f>IF(D24="","خاکستری",IF(D24&lt;D25,"قرمز",IF(D24&lt;D25*1.25,"زرد","سبز")))</x:f>
        <x:v>سبز</x:v>
      </x:c>
      <x:c r="E27" s="128" t="str">
        <x:f>IF(E24="","خاکستری",IF(E24&lt;E25,"قرمز",IF(E24&lt;E25*1.25,"زرد","سبز")))</x:f>
        <x:v>سبز</x:v>
      </x:c>
      <x:c r="F27" s="128" t="str">
        <x:f>IF(F24="","خاکستری",IF(F24&lt;F25,"قرمز",IF(F24&lt;F25*1.25,"زرد","سبز")))</x:f>
        <x:v>سبز</x:v>
      </x:c>
      <x:c r="G27" s="128" t="str">
        <x:f>IF(G24="","خاکستری",IF(G24&lt;G25,"قرمز",IF(G24&lt;G25*1.25,"زرد","سبز")))</x:f>
        <x:v>سبز</x:v>
      </x:c>
      <x:c r="H27" s="128" t="str">
        <x:f>IF(H24="","خاکستری",IF(H24&lt;H25,"قرمز",IF(H24&lt;H25*1.25,"زرد","سبز")))</x:f>
        <x:v>سبز</x:v>
      </x:c>
      <x:c r="I27" s="128" t="str">
        <x:f>IF(I24="","خاکستری",IF(I24&lt;I25,"قرمز",IF(I24&lt;I25*1.25,"زرد","سبز")))</x:f>
        <x:v>سبز</x:v>
      </x:c>
      <x:c r="J27" s="128" t="str">
        <x:f>IF(J24="","خاکستری",IF(J24&lt;J25,"قرمز",IF(J24&lt;J25*1.25,"زرد","سبز")))</x:f>
        <x:v>زرد</x:v>
      </x:c>
      <x:c r="K27" s="128" t="str">
        <x:f>IF(K24="","خاکستری",IF(K24&lt;K25,"قرمز",IF(K24&lt;K25*1.25,"زرد","سبز")))</x:f>
        <x:v>سبز</x:v>
      </x:c>
      <x:c r="L27" s="128" t="str">
        <x:f>IF(L24="","خاکستری",IF(L24&lt;L25,"قرمز",IF(L24&lt;L25*1.25,"زرد","سبز")))</x:f>
        <x:v>سبز</x:v>
      </x:c>
      <x:c r="M27" s="128" t="str">
        <x:f>IF(M24="","خاکستری",IF(M24&lt;M25,"قرمز",IF(M24&lt;M25*1.25,"زرد","سبز")))</x:f>
        <x:v>سبز</x:v>
      </x:c>
      <x:c r="N27" s="128" t="str">
        <x:f>IF(N24="","خاکستری",IF(N24&lt;N25,"قرمز",IF(N24&lt;N25*1.25,"زرد","سبز")))</x:f>
        <x:v>سبز</x:v>
      </x:c>
    </x:row>
    <x:row r="28" ht="15" hidden="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15" hidden="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15" hidden="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15" hidden="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15" hidden="0" customHeight="1">
      <x:c r="A33" s="26" t="str">
        <x:v>رویدادهای نقدی</x:v>
      </x:c>
      <x:c r="B33" s="27" t="str">
        <x:v>رویدادهای نقدی</x:v>
      </x:c>
      <x:c r="C33" s="27" t="str">
        <x:v>رویدادهای نقدی</x:v>
      </x:c>
      <x:c r="D33" s="27" t="str">
        <x:v>رویدادهای نقدی</x:v>
      </x:c>
      <x:c r="E33" s="27" t="str">
        <x:v>رویدادهای نقدی</x:v>
      </x:c>
      <x:c r="F33" s="27" t="str">
        <x:v>رویدادهای نقدی</x:v>
      </x:c>
      <x:c r="G33" s="27" t="str">
        <x:v>رویدادهای نقدی</x:v>
      </x:c>
      <x:c r="H33" s="27" t="str">
        <x:v>رویدادهای نقدی</x:v>
      </x:c>
      <x:c r="I33" s="27" t="str">
        <x:v>رویدادهای نقدی</x:v>
      </x:c>
      <x:c r="J33" s="27" t="str">
        <x:v>رویدادهای نقدی</x:v>
      </x:c>
      <x:c r="K33" s="27" t="str">
        <x:v>رویدادهای نقدی</x:v>
      </x:c>
      <x:c r="L33" s="27" t="str">
        <x:v>رویدادهای نقدی</x:v>
      </x:c>
      <x:c r="M33" s="27" t="str">
        <x:v>رویدادهای نقدی</x:v>
      </x:c>
      <x:c r="N33" s="28" t="str">
        <x:v>رویدادهای نقدی</x:v>
      </x:c>
    </x:row>
    <x:row r="34" ht="15" hidden="0" customHeight="1">
      <x:c r="A34" s="133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B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C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D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E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F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G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H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I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J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K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L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M34" s="134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  <x:c r="N34" s="135" t="str">
        <x:v>برای هر تعهد، تاریخ وجه و تاریخ سررسید را جدا ثبت کنید. وضعیت «عقب‌افتاده» در کارت مطالبات نمایش داده می‌شود. رویدادهای نمونه با SRC-DEMO مشخص شده‌اند.</x:v>
      </x:c>
    </x:row>
    <x:row r="35" ht="15" hidden="0" customHeight="1">
      <x:c r="A35" s="41" t="str">
        <x:v>شناسه</x:v>
      </x:c>
      <x:c r="B35" s="41" t="str">
        <x:v>تاریخ وجه</x:v>
      </x:c>
      <x:c r="C35" s="41" t="str">
        <x:v>سررسید</x:v>
      </x:c>
      <x:c r="D35" s="41" t="str">
        <x:v>نوع</x:v>
      </x:c>
      <x:c r="E35" s="41" t="str">
        <x:v>دسته</x:v>
      </x:c>
      <x:c r="F35" s="41" t="str">
        <x:v>SKU</x:v>
      </x:c>
      <x:c r="G35" s="41" t="str">
        <x:v>کانال</x:v>
      </x:c>
      <x:c r="H35" s="41" t="str">
        <x:v>مبلغ</x:v>
      </x:c>
      <x:c r="I35" s="41" t="str">
        <x:v>وضعیت</x:v>
      </x:c>
      <x:c r="J35" s="41" t="str">
        <x:v>طرف حساب</x:v>
      </x:c>
      <x:c r="K35" s="41" t="str">
        <x:v>مالک</x:v>
      </x:c>
      <x:c r="L35" s="41" t="str">
        <x:v>منبع</x:v>
      </x:c>
      <x:c r="M35" s="41" t="str">
        <x:v>توضیح</x:v>
      </x:c>
      <x:c r="N35" s="3"/>
    </x:row>
    <x:row r="36" ht="15" hidden="0" customHeight="1">
      <x:c r="A36" s="22" t="str">
        <x:v>DEMO-IN-01</x:v>
      </x:c>
      <x:c r="B36" s="29" t="n">
        <x:v>46281</x:v>
      </x:c>
      <x:c r="C36" s="29" t="n">
        <x:v>46281</x:v>
      </x:c>
      <x:c r="D36" s="22" t="str">
        <x:v>ورودی</x:v>
      </x:c>
      <x:c r="E36" s="261" t="str">
        <x:v>وصول فروش</x:v>
      </x:c>
      <x:c r="F36" s="261" t="str">
        <x:v>نمونه-SKU01</x:v>
      </x:c>
      <x:c r="G36" s="261" t="str">
        <x:v>فروشگاه آنلاین</x:v>
      </x:c>
      <x:c r="H36" s="262" t="n">
        <x:v>35000000</x:v>
      </x:c>
      <x:c r="I36" s="261" t="str">
        <x:v>پیش‌بینی</x:v>
      </x:c>
      <x:c r="J36" s="261" t="str">
        <x:v>مشتریان</x:v>
      </x:c>
      <x:c r="K36" s="261" t="str">
        <x:v>مالی</x:v>
      </x:c>
      <x:c r="L36" s="261" t="str">
        <x:v>SRC-DEMO</x:v>
      </x:c>
      <x:c r="M36" s="261" t="str">
        <x:v>نمونه آموزشی</x:v>
      </x:c>
      <x:c r="N36" s="3"/>
    </x:row>
    <x:row r="37" ht="15" hidden="0" customHeight="1">
      <x:c r="A37" s="22" t="str">
        <x:v>DEMO-MKT-01</x:v>
      </x:c>
      <x:c r="B37" s="29" t="n">
        <x:v>46283</x:v>
      </x:c>
      <x:c r="C37" s="29" t="n">
        <x:v>46283</x:v>
      </x:c>
      <x:c r="D37" s="22" t="str">
        <x:v>خروجی</x:v>
      </x:c>
      <x:c r="E37" s="261" t="str">
        <x:v>بازاریابی و جذب</x:v>
      </x:c>
      <x:c r="F37" s="261" t="str">
        <x:v>نمونه-SKU01</x:v>
      </x:c>
      <x:c r="G37" s="261" t="str">
        <x:v>فروشگاه آنلاین</x:v>
      </x:c>
      <x:c r="H37" s="262" t="n">
        <x:v>20000000</x:v>
      </x:c>
      <x:c r="I37" s="261" t="str">
        <x:v>پیش‌بینی</x:v>
      </x:c>
      <x:c r="J37" s="261" t="str">
        <x:v>رسانه</x:v>
      </x:c>
      <x:c r="K37" s="261" t="str">
        <x:v>بازاریابی</x:v>
      </x:c>
      <x:c r="L37" s="261" t="str">
        <x:v>SRC-DEMO</x:v>
      </x:c>
      <x:c r="M37" s="261" t="str">
        <x:v>نمونه آموزشی</x:v>
      </x:c>
      <x:c r="N37" s="3"/>
    </x:row>
    <x:row r="38" ht="15" hidden="0" customHeight="1">
      <x:c r="A38" s="22" t="str">
        <x:v>DEMO-FIX-01</x:v>
      </x:c>
      <x:c r="B38" s="29" t="n">
        <x:v>46284</x:v>
      </x:c>
      <x:c r="C38" s="29" t="n">
        <x:v>46284</x:v>
      </x:c>
      <x:c r="D38" s="22" t="str">
        <x:v>خروجی</x:v>
      </x:c>
      <x:c r="E38" s="261" t="str">
        <x:v>ثابت و اداری</x:v>
      </x:c>
      <x:c r="F38" s="261" t="str"/>
      <x:c r="G38" s="261" t="str"/>
      <x:c r="H38" s="262" t="n">
        <x:v>8000000</x:v>
      </x:c>
      <x:c r="I38" s="261" t="str">
        <x:v>پیش‌بینی</x:v>
      </x:c>
      <x:c r="J38" s="261" t="str">
        <x:v>عملیات</x:v>
      </x:c>
      <x:c r="K38" s="261" t="str">
        <x:v>مالی</x:v>
      </x:c>
      <x:c r="L38" s="261" t="str">
        <x:v>SRC-DEMO</x:v>
      </x:c>
      <x:c r="M38" s="261" t="str">
        <x:v>نمونه آموزشی</x:v>
      </x:c>
      <x:c r="N38" s="3"/>
    </x:row>
    <x:row r="39" ht="15" hidden="0" customHeight="1">
      <x:c r="A39" s="22" t="str">
        <x:v>DEMO-IN-02</x:v>
      </x:c>
      <x:c r="B39" s="29" t="n">
        <x:v>46288</x:v>
      </x:c>
      <x:c r="C39" s="29" t="n">
        <x:v>46288</x:v>
      </x:c>
      <x:c r="D39" s="22" t="str">
        <x:v>ورودی</x:v>
      </x:c>
      <x:c r="E39" s="261" t="str">
        <x:v>وصول فروش</x:v>
      </x:c>
      <x:c r="F39" s="261" t="str">
        <x:v>نمونه-SKU01</x:v>
      </x:c>
      <x:c r="G39" s="261" t="str">
        <x:v>فروشگاه آنلاین</x:v>
      </x:c>
      <x:c r="H39" s="262" t="n">
        <x:v>38000000</x:v>
      </x:c>
      <x:c r="I39" s="261" t="str">
        <x:v>پیش‌بینی</x:v>
      </x:c>
      <x:c r="J39" s="261" t="str">
        <x:v>مشتریان</x:v>
      </x:c>
      <x:c r="K39" s="261" t="str">
        <x:v>مالی</x:v>
      </x:c>
      <x:c r="L39" s="261" t="str">
        <x:v>SRC-DEMO</x:v>
      </x:c>
      <x:c r="M39" s="261" t="str">
        <x:v>نمونه آموزشی</x:v>
      </x:c>
      <x:c r="N39" s="3"/>
    </x:row>
    <x:row r="40" ht="15" hidden="0" customHeight="1">
      <x:c r="A40" s="22" t="str">
        <x:v>DEMO-MKT-02</x:v>
      </x:c>
      <x:c r="B40" s="29" t="n">
        <x:v>46290</x:v>
      </x:c>
      <x:c r="C40" s="29" t="n">
        <x:v>46290</x:v>
      </x:c>
      <x:c r="D40" s="22" t="str">
        <x:v>خروجی</x:v>
      </x:c>
      <x:c r="E40" s="261" t="str">
        <x:v>بازاریابی و جذب</x:v>
      </x:c>
      <x:c r="F40" s="261" t="str">
        <x:v>نمونه-SKU01</x:v>
      </x:c>
      <x:c r="G40" s="261" t="str">
        <x:v>فروشگاه آنلاین</x:v>
      </x:c>
      <x:c r="H40" s="262" t="n">
        <x:v>20000000</x:v>
      </x:c>
      <x:c r="I40" s="261" t="str">
        <x:v>پیش‌بینی</x:v>
      </x:c>
      <x:c r="J40" s="261" t="str">
        <x:v>رسانه</x:v>
      </x:c>
      <x:c r="K40" s="261" t="str">
        <x:v>بازاریابی</x:v>
      </x:c>
      <x:c r="L40" s="261" t="str">
        <x:v>SRC-DEMO</x:v>
      </x:c>
      <x:c r="M40" s="261" t="str">
        <x:v>نمونه آموزشی</x:v>
      </x:c>
      <x:c r="N40" s="3"/>
    </x:row>
    <x:row r="41" ht="15" hidden="0" customHeight="1">
      <x:c r="A41" s="22" t="str">
        <x:v>DEMO-FIX-02</x:v>
      </x:c>
      <x:c r="B41" s="29" t="n">
        <x:v>46291</x:v>
      </x:c>
      <x:c r="C41" s="29" t="n">
        <x:v>46291</x:v>
      </x:c>
      <x:c r="D41" s="22" t="str">
        <x:v>خروجی</x:v>
      </x:c>
      <x:c r="E41" s="261" t="str">
        <x:v>ثابت و اداری</x:v>
      </x:c>
      <x:c r="F41" s="261" t="str"/>
      <x:c r="G41" s="261" t="str"/>
      <x:c r="H41" s="262" t="n">
        <x:v>8000000</x:v>
      </x:c>
      <x:c r="I41" s="261" t="str">
        <x:v>پیش‌بینی</x:v>
      </x:c>
      <x:c r="J41" s="261" t="str">
        <x:v>عملیات</x:v>
      </x:c>
      <x:c r="K41" s="261" t="str">
        <x:v>مالی</x:v>
      </x:c>
      <x:c r="L41" s="261" t="str">
        <x:v>SRC-DEMO</x:v>
      </x:c>
      <x:c r="M41" s="261" t="str">
        <x:v>نمونه آموزشی</x:v>
      </x:c>
      <x:c r="N41" s="3"/>
    </x:row>
    <x:row r="42" ht="15" hidden="0" customHeight="1">
      <x:c r="A42" s="22" t="str">
        <x:v>DEMO-IN-03</x:v>
      </x:c>
      <x:c r="B42" s="29" t="n">
        <x:v>46295</x:v>
      </x:c>
      <x:c r="C42" s="29" t="n">
        <x:v>46295</x:v>
      </x:c>
      <x:c r="D42" s="22" t="str">
        <x:v>ورودی</x:v>
      </x:c>
      <x:c r="E42" s="261" t="str">
        <x:v>وصول فروش</x:v>
      </x:c>
      <x:c r="F42" s="261" t="str">
        <x:v>نمونه-SKU01</x:v>
      </x:c>
      <x:c r="G42" s="261" t="str">
        <x:v>فروشگاه آنلاین</x:v>
      </x:c>
      <x:c r="H42" s="262" t="n">
        <x:v>40000000</x:v>
      </x:c>
      <x:c r="I42" s="261" t="str">
        <x:v>پیش‌بینی</x:v>
      </x:c>
      <x:c r="J42" s="261" t="str">
        <x:v>مشتریان</x:v>
      </x:c>
      <x:c r="K42" s="261" t="str">
        <x:v>مالی</x:v>
      </x:c>
      <x:c r="L42" s="261" t="str">
        <x:v>SRC-DEMO</x:v>
      </x:c>
      <x:c r="M42" s="261" t="str">
        <x:v>نمونه آموزشی</x:v>
      </x:c>
      <x:c r="N42" s="3"/>
    </x:row>
    <x:row r="43" ht="15" hidden="0" customHeight="1">
      <x:c r="A43" s="22" t="str">
        <x:v>DEMO-MKT-03</x:v>
      </x:c>
      <x:c r="B43" s="29" t="n">
        <x:v>46297</x:v>
      </x:c>
      <x:c r="C43" s="29" t="n">
        <x:v>46297</x:v>
      </x:c>
      <x:c r="D43" s="22" t="str">
        <x:v>خروجی</x:v>
      </x:c>
      <x:c r="E43" s="261" t="str">
        <x:v>بازاریابی و جذب</x:v>
      </x:c>
      <x:c r="F43" s="261" t="str">
        <x:v>نمونه-SKU01</x:v>
      </x:c>
      <x:c r="G43" s="261" t="str">
        <x:v>فروشگاه آنلاین</x:v>
      </x:c>
      <x:c r="H43" s="262" t="n">
        <x:v>20000000</x:v>
      </x:c>
      <x:c r="I43" s="261" t="str">
        <x:v>پیش‌بینی</x:v>
      </x:c>
      <x:c r="J43" s="261" t="str">
        <x:v>رسانه</x:v>
      </x:c>
      <x:c r="K43" s="261" t="str">
        <x:v>بازاریابی</x:v>
      </x:c>
      <x:c r="L43" s="261" t="str">
        <x:v>SRC-DEMO</x:v>
      </x:c>
      <x:c r="M43" s="261" t="str">
        <x:v>نمونه آموزشی</x:v>
      </x:c>
      <x:c r="N43" s="3"/>
    </x:row>
    <x:row r="44" ht="15" hidden="0" customHeight="1">
      <x:c r="A44" s="22" t="str">
        <x:v>DEMO-FIX-03</x:v>
      </x:c>
      <x:c r="B44" s="29" t="n">
        <x:v>46298</x:v>
      </x:c>
      <x:c r="C44" s="29" t="n">
        <x:v>46298</x:v>
      </x:c>
      <x:c r="D44" s="22" t="str">
        <x:v>خروجی</x:v>
      </x:c>
      <x:c r="E44" s="261" t="str">
        <x:v>ثابت و اداری</x:v>
      </x:c>
      <x:c r="F44" s="261" t="str"/>
      <x:c r="G44" s="261" t="str"/>
      <x:c r="H44" s="262" t="n">
        <x:v>8000000</x:v>
      </x:c>
      <x:c r="I44" s="261" t="str">
        <x:v>پیش‌بینی</x:v>
      </x:c>
      <x:c r="J44" s="261" t="str">
        <x:v>عملیات</x:v>
      </x:c>
      <x:c r="K44" s="261" t="str">
        <x:v>مالی</x:v>
      </x:c>
      <x:c r="L44" s="261" t="str">
        <x:v>SRC-DEMO</x:v>
      </x:c>
      <x:c r="M44" s="261" t="str">
        <x:v>نمونه آموزشی</x:v>
      </x:c>
      <x:c r="N44" s="3"/>
    </x:row>
    <x:row r="45" ht="15" hidden="0" customHeight="1">
      <x:c r="A45" s="22" t="str">
        <x:v>DEMO-IN-04</x:v>
      </x:c>
      <x:c r="B45" s="29" t="n">
        <x:v>46302</x:v>
      </x:c>
      <x:c r="C45" s="29" t="n">
        <x:v>46302</x:v>
      </x:c>
      <x:c r="D45" s="22" t="str">
        <x:v>ورودی</x:v>
      </x:c>
      <x:c r="E45" s="261" t="str">
        <x:v>وصول فروش</x:v>
      </x:c>
      <x:c r="F45" s="261" t="str">
        <x:v>نمونه-SKU01</x:v>
      </x:c>
      <x:c r="G45" s="261" t="str">
        <x:v>فروشگاه آنلاین</x:v>
      </x:c>
      <x:c r="H45" s="262" t="n">
        <x:v>42000000</x:v>
      </x:c>
      <x:c r="I45" s="261" t="str">
        <x:v>پیش‌بینی</x:v>
      </x:c>
      <x:c r="J45" s="261" t="str">
        <x:v>مشتریان</x:v>
      </x:c>
      <x:c r="K45" s="261" t="str">
        <x:v>مالی</x:v>
      </x:c>
      <x:c r="L45" s="261" t="str">
        <x:v>SRC-DEMO</x:v>
      </x:c>
      <x:c r="M45" s="261" t="str">
        <x:v>نمونه آموزشی</x:v>
      </x:c>
      <x:c r="N45" s="3"/>
    </x:row>
    <x:row r="46" ht="15" hidden="0" customHeight="1">
      <x:c r="A46" s="22" t="str">
        <x:v>DEMO-MKT-04</x:v>
      </x:c>
      <x:c r="B46" s="29" t="n">
        <x:v>46304</x:v>
      </x:c>
      <x:c r="C46" s="29" t="n">
        <x:v>46304</x:v>
      </x:c>
      <x:c r="D46" s="22" t="str">
        <x:v>خروجی</x:v>
      </x:c>
      <x:c r="E46" s="261" t="str">
        <x:v>بازاریابی و جذب</x:v>
      </x:c>
      <x:c r="F46" s="261" t="str">
        <x:v>نمونه-SKU01</x:v>
      </x:c>
      <x:c r="G46" s="261" t="str">
        <x:v>فروشگاه آنلاین</x:v>
      </x:c>
      <x:c r="H46" s="262" t="n">
        <x:v>20000000</x:v>
      </x:c>
      <x:c r="I46" s="261" t="str">
        <x:v>پیش‌بینی</x:v>
      </x:c>
      <x:c r="J46" s="261" t="str">
        <x:v>رسانه</x:v>
      </x:c>
      <x:c r="K46" s="261" t="str">
        <x:v>بازاریابی</x:v>
      </x:c>
      <x:c r="L46" s="261" t="str">
        <x:v>SRC-DEMO</x:v>
      </x:c>
      <x:c r="M46" s="261" t="str">
        <x:v>نمونه آموزشی</x:v>
      </x:c>
      <x:c r="N46" s="3"/>
    </x:row>
    <x:row r="47" ht="15" hidden="0" customHeight="1">
      <x:c r="A47" s="22" t="str">
        <x:v>DEMO-FIX-04</x:v>
      </x:c>
      <x:c r="B47" s="29" t="n">
        <x:v>46305</x:v>
      </x:c>
      <x:c r="C47" s="29" t="n">
        <x:v>46305</x:v>
      </x:c>
      <x:c r="D47" s="22" t="str">
        <x:v>خروجی</x:v>
      </x:c>
      <x:c r="E47" s="261" t="str">
        <x:v>ثابت و اداری</x:v>
      </x:c>
      <x:c r="F47" s="261" t="str"/>
      <x:c r="G47" s="261" t="str"/>
      <x:c r="H47" s="262" t="n">
        <x:v>8000000</x:v>
      </x:c>
      <x:c r="I47" s="261" t="str">
        <x:v>پیش‌بینی</x:v>
      </x:c>
      <x:c r="J47" s="261" t="str">
        <x:v>عملیات</x:v>
      </x:c>
      <x:c r="K47" s="261" t="str">
        <x:v>مالی</x:v>
      </x:c>
      <x:c r="L47" s="261" t="str">
        <x:v>SRC-DEMO</x:v>
      </x:c>
      <x:c r="M47" s="261" t="str">
        <x:v>نمونه آموزشی</x:v>
      </x:c>
      <x:c r="N47" s="3"/>
    </x:row>
    <x:row r="48" ht="15" hidden="0" customHeight="1">
      <x:c r="A48" s="22" t="str">
        <x:v>DEMO-IN-05</x:v>
      </x:c>
      <x:c r="B48" s="29" t="n">
        <x:v>46309</x:v>
      </x:c>
      <x:c r="C48" s="29" t="n">
        <x:v>46309</x:v>
      </x:c>
      <x:c r="D48" s="22" t="str">
        <x:v>ورودی</x:v>
      </x:c>
      <x:c r="E48" s="261" t="str">
        <x:v>وصول فروش</x:v>
      </x:c>
      <x:c r="F48" s="261" t="str">
        <x:v>نمونه-SKU01</x:v>
      </x:c>
      <x:c r="G48" s="261" t="str">
        <x:v>فروشگاه آنلاین</x:v>
      </x:c>
      <x:c r="H48" s="262" t="n">
        <x:v>43000000</x:v>
      </x:c>
      <x:c r="I48" s="261" t="str">
        <x:v>پیش‌بینی</x:v>
      </x:c>
      <x:c r="J48" s="261" t="str">
        <x:v>مشتریان</x:v>
      </x:c>
      <x:c r="K48" s="261" t="str">
        <x:v>مالی</x:v>
      </x:c>
      <x:c r="L48" s="261" t="str">
        <x:v>SRC-DEMO</x:v>
      </x:c>
      <x:c r="M48" s="261" t="str">
        <x:v>نمونه آموزشی</x:v>
      </x:c>
      <x:c r="N48" s="3"/>
    </x:row>
    <x:row r="49" ht="15" hidden="0" customHeight="1">
      <x:c r="A49" s="22" t="str">
        <x:v>DEMO-MKT-05</x:v>
      </x:c>
      <x:c r="B49" s="29" t="n">
        <x:v>46311</x:v>
      </x:c>
      <x:c r="C49" s="29" t="n">
        <x:v>46311</x:v>
      </x:c>
      <x:c r="D49" s="22" t="str">
        <x:v>خروجی</x:v>
      </x:c>
      <x:c r="E49" s="261" t="str">
        <x:v>بازاریابی و جذب</x:v>
      </x:c>
      <x:c r="F49" s="261" t="str">
        <x:v>نمونه-SKU01</x:v>
      </x:c>
      <x:c r="G49" s="261" t="str">
        <x:v>فروشگاه آنلاین</x:v>
      </x:c>
      <x:c r="H49" s="262" t="n">
        <x:v>20000000</x:v>
      </x:c>
      <x:c r="I49" s="261" t="str">
        <x:v>پیش‌بینی</x:v>
      </x:c>
      <x:c r="J49" s="261" t="str">
        <x:v>رسانه</x:v>
      </x:c>
      <x:c r="K49" s="261" t="str">
        <x:v>بازاریابی</x:v>
      </x:c>
      <x:c r="L49" s="261" t="str">
        <x:v>SRC-DEMO</x:v>
      </x:c>
      <x:c r="M49" s="261" t="str">
        <x:v>نمونه آموزشی</x:v>
      </x:c>
      <x:c r="N49" s="3"/>
    </x:row>
    <x:row r="50" ht="15" hidden="0" customHeight="1">
      <x:c r="A50" s="22" t="str">
        <x:v>DEMO-FIX-05</x:v>
      </x:c>
      <x:c r="B50" s="29" t="n">
        <x:v>46312</x:v>
      </x:c>
      <x:c r="C50" s="29" t="n">
        <x:v>46312</x:v>
      </x:c>
      <x:c r="D50" s="22" t="str">
        <x:v>خروجی</x:v>
      </x:c>
      <x:c r="E50" s="261" t="str">
        <x:v>ثابت و اداری</x:v>
      </x:c>
      <x:c r="F50" s="261" t="str"/>
      <x:c r="G50" s="261" t="str"/>
      <x:c r="H50" s="262" t="n">
        <x:v>8000000</x:v>
      </x:c>
      <x:c r="I50" s="261" t="str">
        <x:v>پیش‌بینی</x:v>
      </x:c>
      <x:c r="J50" s="261" t="str">
        <x:v>عملیات</x:v>
      </x:c>
      <x:c r="K50" s="261" t="str">
        <x:v>مالی</x:v>
      </x:c>
      <x:c r="L50" s="261" t="str">
        <x:v>SRC-DEMO</x:v>
      </x:c>
      <x:c r="M50" s="261" t="str">
        <x:v>نمونه آموزشی</x:v>
      </x:c>
      <x:c r="N50" s="3"/>
    </x:row>
    <x:row r="51" ht="15" hidden="0" customHeight="1">
      <x:c r="A51" s="22" t="str">
        <x:v>DEMO-IN-06</x:v>
      </x:c>
      <x:c r="B51" s="29" t="n">
        <x:v>46316</x:v>
      </x:c>
      <x:c r="C51" s="29" t="n">
        <x:v>46316</x:v>
      </x:c>
      <x:c r="D51" s="22" t="str">
        <x:v>ورودی</x:v>
      </x:c>
      <x:c r="E51" s="261" t="str">
        <x:v>وصول فروش</x:v>
      </x:c>
      <x:c r="F51" s="261" t="str">
        <x:v>نمونه-SKU01</x:v>
      </x:c>
      <x:c r="G51" s="261" t="str">
        <x:v>فروشگاه آنلاین</x:v>
      </x:c>
      <x:c r="H51" s="262" t="n">
        <x:v>44000000</x:v>
      </x:c>
      <x:c r="I51" s="261" t="str">
        <x:v>پیش‌بینی</x:v>
      </x:c>
      <x:c r="J51" s="261" t="str">
        <x:v>مشتریان</x:v>
      </x:c>
      <x:c r="K51" s="261" t="str">
        <x:v>مالی</x:v>
      </x:c>
      <x:c r="L51" s="261" t="str">
        <x:v>SRC-DEMO</x:v>
      </x:c>
      <x:c r="M51" s="261" t="str">
        <x:v>نمونه آموزشی</x:v>
      </x:c>
      <x:c r="N51" s="3"/>
    </x:row>
    <x:row r="52" ht="15" hidden="0" customHeight="1">
      <x:c r="A52" s="22" t="str">
        <x:v>DEMO-MKT-06</x:v>
      </x:c>
      <x:c r="B52" s="29" t="n">
        <x:v>46318</x:v>
      </x:c>
      <x:c r="C52" s="29" t="n">
        <x:v>46318</x:v>
      </x:c>
      <x:c r="D52" s="22" t="str">
        <x:v>خروجی</x:v>
      </x:c>
      <x:c r="E52" s="261" t="str">
        <x:v>بازاریابی و جذب</x:v>
      </x:c>
      <x:c r="F52" s="261" t="str">
        <x:v>نمونه-SKU01</x:v>
      </x:c>
      <x:c r="G52" s="261" t="str">
        <x:v>فروشگاه آنلاین</x:v>
      </x:c>
      <x:c r="H52" s="262" t="n">
        <x:v>20000000</x:v>
      </x:c>
      <x:c r="I52" s="261" t="str">
        <x:v>پیش‌بینی</x:v>
      </x:c>
      <x:c r="J52" s="261" t="str">
        <x:v>رسانه</x:v>
      </x:c>
      <x:c r="K52" s="261" t="str">
        <x:v>بازاریابی</x:v>
      </x:c>
      <x:c r="L52" s="261" t="str">
        <x:v>SRC-DEMO</x:v>
      </x:c>
      <x:c r="M52" s="261" t="str">
        <x:v>نمونه آموزشی</x:v>
      </x:c>
      <x:c r="N52" s="3"/>
    </x:row>
    <x:row r="53" ht="15" hidden="0" customHeight="1">
      <x:c r="A53" s="22" t="str">
        <x:v>DEMO-FIX-06</x:v>
      </x:c>
      <x:c r="B53" s="29" t="n">
        <x:v>46319</x:v>
      </x:c>
      <x:c r="C53" s="29" t="n">
        <x:v>46319</x:v>
      </x:c>
      <x:c r="D53" s="22" t="str">
        <x:v>خروجی</x:v>
      </x:c>
      <x:c r="E53" s="261" t="str">
        <x:v>ثابت و اداری</x:v>
      </x:c>
      <x:c r="F53" s="261" t="str"/>
      <x:c r="G53" s="261" t="str"/>
      <x:c r="H53" s="262" t="n">
        <x:v>8000000</x:v>
      </x:c>
      <x:c r="I53" s="261" t="str">
        <x:v>پیش‌بینی</x:v>
      </x:c>
      <x:c r="J53" s="261" t="str">
        <x:v>عملیات</x:v>
      </x:c>
      <x:c r="K53" s="261" t="str">
        <x:v>مالی</x:v>
      </x:c>
      <x:c r="L53" s="261" t="str">
        <x:v>SRC-DEMO</x:v>
      </x:c>
      <x:c r="M53" s="261" t="str">
        <x:v>نمونه آموزشی</x:v>
      </x:c>
      <x:c r="N53" s="3"/>
    </x:row>
    <x:row r="54" ht="15" hidden="0" customHeight="1">
      <x:c r="A54" s="22" t="str">
        <x:v>DEMO-IN-07</x:v>
      </x:c>
      <x:c r="B54" s="29" t="n">
        <x:v>46323</x:v>
      </x:c>
      <x:c r="C54" s="29" t="n">
        <x:v>46323</x:v>
      </x:c>
      <x:c r="D54" s="22" t="str">
        <x:v>ورودی</x:v>
      </x:c>
      <x:c r="E54" s="261" t="str">
        <x:v>وصول فروش</x:v>
      </x:c>
      <x:c r="F54" s="261" t="str">
        <x:v>نمونه-SKU01</x:v>
      </x:c>
      <x:c r="G54" s="261" t="str">
        <x:v>فروشگاه آنلاین</x:v>
      </x:c>
      <x:c r="H54" s="262" t="n">
        <x:v>45000000</x:v>
      </x:c>
      <x:c r="I54" s="261" t="str">
        <x:v>پیش‌بینی</x:v>
      </x:c>
      <x:c r="J54" s="261" t="str">
        <x:v>مشتریان</x:v>
      </x:c>
      <x:c r="K54" s="261" t="str">
        <x:v>مالی</x:v>
      </x:c>
      <x:c r="L54" s="261" t="str">
        <x:v>SRC-DEMO</x:v>
      </x:c>
      <x:c r="M54" s="261" t="str">
        <x:v>نمونه آموزشی</x:v>
      </x:c>
      <x:c r="N54" s="3"/>
    </x:row>
    <x:row r="55" ht="15" hidden="0" customHeight="1">
      <x:c r="A55" s="22" t="str">
        <x:v>DEMO-MKT-07</x:v>
      </x:c>
      <x:c r="B55" s="29" t="n">
        <x:v>46325</x:v>
      </x:c>
      <x:c r="C55" s="29" t="n">
        <x:v>46325</x:v>
      </x:c>
      <x:c r="D55" s="22" t="str">
        <x:v>خروجی</x:v>
      </x:c>
      <x:c r="E55" s="261" t="str">
        <x:v>بازاریابی و جذب</x:v>
      </x:c>
      <x:c r="F55" s="261" t="str">
        <x:v>نمونه-SKU01</x:v>
      </x:c>
      <x:c r="G55" s="261" t="str">
        <x:v>فروشگاه آنلاین</x:v>
      </x:c>
      <x:c r="H55" s="262" t="n">
        <x:v>20000000</x:v>
      </x:c>
      <x:c r="I55" s="261" t="str">
        <x:v>پیش‌بینی</x:v>
      </x:c>
      <x:c r="J55" s="261" t="str">
        <x:v>رسانه</x:v>
      </x:c>
      <x:c r="K55" s="261" t="str">
        <x:v>بازاریابی</x:v>
      </x:c>
      <x:c r="L55" s="261" t="str">
        <x:v>SRC-DEMO</x:v>
      </x:c>
      <x:c r="M55" s="261" t="str">
        <x:v>نمونه آموزشی</x:v>
      </x:c>
      <x:c r="N55" s="3"/>
    </x:row>
    <x:row r="56" ht="15" hidden="0" customHeight="1">
      <x:c r="A56" s="22" t="str">
        <x:v>DEMO-FIX-07</x:v>
      </x:c>
      <x:c r="B56" s="29" t="n">
        <x:v>46326</x:v>
      </x:c>
      <x:c r="C56" s="29" t="n">
        <x:v>46326</x:v>
      </x:c>
      <x:c r="D56" s="22" t="str">
        <x:v>خروجی</x:v>
      </x:c>
      <x:c r="E56" s="261" t="str">
        <x:v>ثابت و اداری</x:v>
      </x:c>
      <x:c r="F56" s="261" t="str"/>
      <x:c r="G56" s="261" t="str"/>
      <x:c r="H56" s="262" t="n">
        <x:v>8000000</x:v>
      </x:c>
      <x:c r="I56" s="261" t="str">
        <x:v>پیش‌بینی</x:v>
      </x:c>
      <x:c r="J56" s="261" t="str">
        <x:v>عملیات</x:v>
      </x:c>
      <x:c r="K56" s="261" t="str">
        <x:v>مالی</x:v>
      </x:c>
      <x:c r="L56" s="261" t="str">
        <x:v>SRC-DEMO</x:v>
      </x:c>
      <x:c r="M56" s="261" t="str">
        <x:v>نمونه آموزشی</x:v>
      </x:c>
      <x:c r="N56" s="3"/>
    </x:row>
    <x:row r="57" ht="15" hidden="0" customHeight="1">
      <x:c r="A57" s="22" t="str">
        <x:v>DEMO-IN-08</x:v>
      </x:c>
      <x:c r="B57" s="29" t="n">
        <x:v>46330</x:v>
      </x:c>
      <x:c r="C57" s="29" t="n">
        <x:v>46330</x:v>
      </x:c>
      <x:c r="D57" s="22" t="str">
        <x:v>ورودی</x:v>
      </x:c>
      <x:c r="E57" s="261" t="str">
        <x:v>وصول فروش</x:v>
      </x:c>
      <x:c r="F57" s="261" t="str">
        <x:v>نمونه-SKU01</x:v>
      </x:c>
      <x:c r="G57" s="261" t="str">
        <x:v>فروشگاه آنلاین</x:v>
      </x:c>
      <x:c r="H57" s="262" t="n">
        <x:v>46000000</x:v>
      </x:c>
      <x:c r="I57" s="261" t="str">
        <x:v>پیش‌بینی</x:v>
      </x:c>
      <x:c r="J57" s="261" t="str">
        <x:v>مشتریان</x:v>
      </x:c>
      <x:c r="K57" s="261" t="str">
        <x:v>مالی</x:v>
      </x:c>
      <x:c r="L57" s="261" t="str">
        <x:v>SRC-DEMO</x:v>
      </x:c>
      <x:c r="M57" s="261" t="str">
        <x:v>نمونه آموزشی</x:v>
      </x:c>
      <x:c r="N57" s="3"/>
    </x:row>
    <x:row r="58" ht="15" hidden="0" customHeight="1">
      <x:c r="A58" s="22" t="str">
        <x:v>DEMO-MKT-08</x:v>
      </x:c>
      <x:c r="B58" s="29" t="n">
        <x:v>46332</x:v>
      </x:c>
      <x:c r="C58" s="29" t="n">
        <x:v>46332</x:v>
      </x:c>
      <x:c r="D58" s="22" t="str">
        <x:v>خروجی</x:v>
      </x:c>
      <x:c r="E58" s="261" t="str">
        <x:v>بازاریابی و جذب</x:v>
      </x:c>
      <x:c r="F58" s="261" t="str">
        <x:v>نمونه-SKU01</x:v>
      </x:c>
      <x:c r="G58" s="261" t="str">
        <x:v>فروشگاه آنلاین</x:v>
      </x:c>
      <x:c r="H58" s="262" t="n">
        <x:v>20000000</x:v>
      </x:c>
      <x:c r="I58" s="261" t="str">
        <x:v>پیش‌بینی</x:v>
      </x:c>
      <x:c r="J58" s="261" t="str">
        <x:v>رسانه</x:v>
      </x:c>
      <x:c r="K58" s="261" t="str">
        <x:v>بازاریابی</x:v>
      </x:c>
      <x:c r="L58" s="261" t="str">
        <x:v>SRC-DEMO</x:v>
      </x:c>
      <x:c r="M58" s="261" t="str">
        <x:v>نمونه آموزشی</x:v>
      </x:c>
      <x:c r="N58" s="3"/>
    </x:row>
    <x:row r="59" ht="15" hidden="0" customHeight="1">
      <x:c r="A59" s="22" t="str">
        <x:v>DEMO-FIX-08</x:v>
      </x:c>
      <x:c r="B59" s="29" t="n">
        <x:v>46333</x:v>
      </x:c>
      <x:c r="C59" s="29" t="n">
        <x:v>46333</x:v>
      </x:c>
      <x:c r="D59" s="22" t="str">
        <x:v>خروجی</x:v>
      </x:c>
      <x:c r="E59" s="261" t="str">
        <x:v>ثابت و اداری</x:v>
      </x:c>
      <x:c r="F59" s="261" t="str"/>
      <x:c r="G59" s="261" t="str"/>
      <x:c r="H59" s="262" t="n">
        <x:v>8000000</x:v>
      </x:c>
      <x:c r="I59" s="261" t="str">
        <x:v>پیش‌بینی</x:v>
      </x:c>
      <x:c r="J59" s="261" t="str">
        <x:v>عملیات</x:v>
      </x:c>
      <x:c r="K59" s="261" t="str">
        <x:v>مالی</x:v>
      </x:c>
      <x:c r="L59" s="261" t="str">
        <x:v>SRC-DEMO</x:v>
      </x:c>
      <x:c r="M59" s="261" t="str">
        <x:v>نمونه آموزشی</x:v>
      </x:c>
      <x:c r="N59" s="3"/>
    </x:row>
    <x:row r="60" ht="15" hidden="0" customHeight="1">
      <x:c r="A60" s="22" t="str">
        <x:v>DEMO-IN-09</x:v>
      </x:c>
      <x:c r="B60" s="29" t="n">
        <x:v>46337</x:v>
      </x:c>
      <x:c r="C60" s="29" t="n">
        <x:v>46337</x:v>
      </x:c>
      <x:c r="D60" s="22" t="str">
        <x:v>ورودی</x:v>
      </x:c>
      <x:c r="E60" s="261" t="str">
        <x:v>وصول فروش</x:v>
      </x:c>
      <x:c r="F60" s="261" t="str">
        <x:v>نمونه-SKU01</x:v>
      </x:c>
      <x:c r="G60" s="261" t="str">
        <x:v>فروشگاه آنلاین</x:v>
      </x:c>
      <x:c r="H60" s="262" t="n">
        <x:v>47000000</x:v>
      </x:c>
      <x:c r="I60" s="261" t="str">
        <x:v>پیش‌بینی</x:v>
      </x:c>
      <x:c r="J60" s="261" t="str">
        <x:v>مشتریان</x:v>
      </x:c>
      <x:c r="K60" s="261" t="str">
        <x:v>مالی</x:v>
      </x:c>
      <x:c r="L60" s="261" t="str">
        <x:v>SRC-DEMO</x:v>
      </x:c>
      <x:c r="M60" s="261" t="str">
        <x:v>نمونه آموزشی</x:v>
      </x:c>
      <x:c r="N60" s="3"/>
    </x:row>
    <x:row r="61" ht="15" hidden="0" customHeight="1">
      <x:c r="A61" s="22" t="str">
        <x:v>DEMO-MKT-09</x:v>
      </x:c>
      <x:c r="B61" s="29" t="n">
        <x:v>46339</x:v>
      </x:c>
      <x:c r="C61" s="29" t="n">
        <x:v>46339</x:v>
      </x:c>
      <x:c r="D61" s="22" t="str">
        <x:v>خروجی</x:v>
      </x:c>
      <x:c r="E61" s="261" t="str">
        <x:v>بازاریابی و جذب</x:v>
      </x:c>
      <x:c r="F61" s="261" t="str">
        <x:v>نمونه-SKU01</x:v>
      </x:c>
      <x:c r="G61" s="261" t="str">
        <x:v>فروشگاه آنلاین</x:v>
      </x:c>
      <x:c r="H61" s="262" t="n">
        <x:v>20000000</x:v>
      </x:c>
      <x:c r="I61" s="261" t="str">
        <x:v>پیش‌بینی</x:v>
      </x:c>
      <x:c r="J61" s="261" t="str">
        <x:v>رسانه</x:v>
      </x:c>
      <x:c r="K61" s="261" t="str">
        <x:v>بازاریابی</x:v>
      </x:c>
      <x:c r="L61" s="261" t="str">
        <x:v>SRC-DEMO</x:v>
      </x:c>
      <x:c r="M61" s="261" t="str">
        <x:v>نمونه آموزشی</x:v>
      </x:c>
      <x:c r="N61" s="3"/>
    </x:row>
    <x:row r="62" ht="15" hidden="0" customHeight="1">
      <x:c r="A62" s="22" t="str">
        <x:v>DEMO-FIX-09</x:v>
      </x:c>
      <x:c r="B62" s="29" t="n">
        <x:v>46340</x:v>
      </x:c>
      <x:c r="C62" s="29" t="n">
        <x:v>46340</x:v>
      </x:c>
      <x:c r="D62" s="22" t="str">
        <x:v>خروجی</x:v>
      </x:c>
      <x:c r="E62" s="261" t="str">
        <x:v>ثابت و اداری</x:v>
      </x:c>
      <x:c r="F62" s="261" t="str"/>
      <x:c r="G62" s="261" t="str"/>
      <x:c r="H62" s="262" t="n">
        <x:v>8000000</x:v>
      </x:c>
      <x:c r="I62" s="261" t="str">
        <x:v>پیش‌بینی</x:v>
      </x:c>
      <x:c r="J62" s="261" t="str">
        <x:v>عملیات</x:v>
      </x:c>
      <x:c r="K62" s="261" t="str">
        <x:v>مالی</x:v>
      </x:c>
      <x:c r="L62" s="261" t="str">
        <x:v>SRC-DEMO</x:v>
      </x:c>
      <x:c r="M62" s="261" t="str">
        <x:v>نمونه آموزشی</x:v>
      </x:c>
      <x:c r="N62" s="3"/>
    </x:row>
    <x:row r="63" ht="15" hidden="0" customHeight="1">
      <x:c r="A63" s="22" t="str">
        <x:v>DEMO-IN-10</x:v>
      </x:c>
      <x:c r="B63" s="29" t="n">
        <x:v>46344</x:v>
      </x:c>
      <x:c r="C63" s="29" t="n">
        <x:v>46344</x:v>
      </x:c>
      <x:c r="D63" s="22" t="str">
        <x:v>ورودی</x:v>
      </x:c>
      <x:c r="E63" s="261" t="str">
        <x:v>وصول فروش</x:v>
      </x:c>
      <x:c r="F63" s="261" t="str">
        <x:v>نمونه-SKU01</x:v>
      </x:c>
      <x:c r="G63" s="261" t="str">
        <x:v>فروشگاه آنلاین</x:v>
      </x:c>
      <x:c r="H63" s="262" t="n">
        <x:v>48000000</x:v>
      </x:c>
      <x:c r="I63" s="261" t="str">
        <x:v>پیش‌بینی</x:v>
      </x:c>
      <x:c r="J63" s="261" t="str">
        <x:v>مشتریان</x:v>
      </x:c>
      <x:c r="K63" s="261" t="str">
        <x:v>مالی</x:v>
      </x:c>
      <x:c r="L63" s="261" t="str">
        <x:v>SRC-DEMO</x:v>
      </x:c>
      <x:c r="M63" s="261" t="str">
        <x:v>نمونه آموزشی</x:v>
      </x:c>
      <x:c r="N63" s="3"/>
    </x:row>
    <x:row r="64" ht="15" hidden="0" customHeight="1">
      <x:c r="A64" s="22" t="str">
        <x:v>DEMO-MKT-10</x:v>
      </x:c>
      <x:c r="B64" s="29" t="n">
        <x:v>46346</x:v>
      </x:c>
      <x:c r="C64" s="29" t="n">
        <x:v>46346</x:v>
      </x:c>
      <x:c r="D64" s="22" t="str">
        <x:v>خروجی</x:v>
      </x:c>
      <x:c r="E64" s="261" t="str">
        <x:v>بازاریابی و جذب</x:v>
      </x:c>
      <x:c r="F64" s="261" t="str">
        <x:v>نمونه-SKU01</x:v>
      </x:c>
      <x:c r="G64" s="261" t="str">
        <x:v>فروشگاه آنلاین</x:v>
      </x:c>
      <x:c r="H64" s="262" t="n">
        <x:v>20000000</x:v>
      </x:c>
      <x:c r="I64" s="261" t="str">
        <x:v>پیش‌بینی</x:v>
      </x:c>
      <x:c r="J64" s="261" t="str">
        <x:v>رسانه</x:v>
      </x:c>
      <x:c r="K64" s="261" t="str">
        <x:v>بازاریابی</x:v>
      </x:c>
      <x:c r="L64" s="261" t="str">
        <x:v>SRC-DEMO</x:v>
      </x:c>
      <x:c r="M64" s="261" t="str">
        <x:v>نمونه آموزشی</x:v>
      </x:c>
      <x:c r="N64" s="3"/>
    </x:row>
    <x:row r="65" ht="15" hidden="0" customHeight="1">
      <x:c r="A65" s="22" t="str">
        <x:v>DEMO-FIX-10</x:v>
      </x:c>
      <x:c r="B65" s="29" t="n">
        <x:v>46347</x:v>
      </x:c>
      <x:c r="C65" s="29" t="n">
        <x:v>46347</x:v>
      </x:c>
      <x:c r="D65" s="22" t="str">
        <x:v>خروجی</x:v>
      </x:c>
      <x:c r="E65" s="261" t="str">
        <x:v>ثابت و اداری</x:v>
      </x:c>
      <x:c r="F65" s="261" t="str"/>
      <x:c r="G65" s="261" t="str"/>
      <x:c r="H65" s="262" t="n">
        <x:v>8000000</x:v>
      </x:c>
      <x:c r="I65" s="261" t="str">
        <x:v>پیش‌بینی</x:v>
      </x:c>
      <x:c r="J65" s="261" t="str">
        <x:v>عملیات</x:v>
      </x:c>
      <x:c r="K65" s="261" t="str">
        <x:v>مالی</x:v>
      </x:c>
      <x:c r="L65" s="261" t="str">
        <x:v>SRC-DEMO</x:v>
      </x:c>
      <x:c r="M65" s="261" t="str">
        <x:v>نمونه آموزشی</x:v>
      </x:c>
      <x:c r="N65" s="3"/>
    </x:row>
    <x:row r="66" ht="15" hidden="0" customHeight="1">
      <x:c r="A66" s="22" t="str">
        <x:v>DEMO-IN-11</x:v>
      </x:c>
      <x:c r="B66" s="29" t="n">
        <x:v>46351</x:v>
      </x:c>
      <x:c r="C66" s="29" t="n">
        <x:v>46351</x:v>
      </x:c>
      <x:c r="D66" s="22" t="str">
        <x:v>ورودی</x:v>
      </x:c>
      <x:c r="E66" s="261" t="str">
        <x:v>وصول فروش</x:v>
      </x:c>
      <x:c r="F66" s="261" t="str">
        <x:v>نمونه-SKU01</x:v>
      </x:c>
      <x:c r="G66" s="261" t="str">
        <x:v>فروشگاه آنلاین</x:v>
      </x:c>
      <x:c r="H66" s="262" t="n">
        <x:v>49000000</x:v>
      </x:c>
      <x:c r="I66" s="261" t="str">
        <x:v>پیش‌بینی</x:v>
      </x:c>
      <x:c r="J66" s="261" t="str">
        <x:v>مشتریان</x:v>
      </x:c>
      <x:c r="K66" s="261" t="str">
        <x:v>مالی</x:v>
      </x:c>
      <x:c r="L66" s="261" t="str">
        <x:v>SRC-DEMO</x:v>
      </x:c>
      <x:c r="M66" s="261" t="str">
        <x:v>نمونه آموزشی</x:v>
      </x:c>
      <x:c r="N66" s="3"/>
    </x:row>
    <x:row r="67" ht="15" hidden="0" customHeight="1">
      <x:c r="A67" s="22" t="str">
        <x:v>DEMO-MKT-11</x:v>
      </x:c>
      <x:c r="B67" s="29" t="n">
        <x:v>46353</x:v>
      </x:c>
      <x:c r="C67" s="29" t="n">
        <x:v>46353</x:v>
      </x:c>
      <x:c r="D67" s="22" t="str">
        <x:v>خروجی</x:v>
      </x:c>
      <x:c r="E67" s="261" t="str">
        <x:v>بازاریابی و جذب</x:v>
      </x:c>
      <x:c r="F67" s="261" t="str">
        <x:v>نمونه-SKU01</x:v>
      </x:c>
      <x:c r="G67" s="261" t="str">
        <x:v>فروشگاه آنلاین</x:v>
      </x:c>
      <x:c r="H67" s="262" t="n">
        <x:v>20000000</x:v>
      </x:c>
      <x:c r="I67" s="261" t="str">
        <x:v>پیش‌بینی</x:v>
      </x:c>
      <x:c r="J67" s="261" t="str">
        <x:v>رسانه</x:v>
      </x:c>
      <x:c r="K67" s="261" t="str">
        <x:v>بازاریابی</x:v>
      </x:c>
      <x:c r="L67" s="261" t="str">
        <x:v>SRC-DEMO</x:v>
      </x:c>
      <x:c r="M67" s="261" t="str">
        <x:v>نمونه آموزشی</x:v>
      </x:c>
      <x:c r="N67" s="3"/>
    </x:row>
    <x:row r="68" ht="15" hidden="0" customHeight="1">
      <x:c r="A68" s="22" t="str">
        <x:v>DEMO-FIX-11</x:v>
      </x:c>
      <x:c r="B68" s="29" t="n">
        <x:v>46354</x:v>
      </x:c>
      <x:c r="C68" s="29" t="n">
        <x:v>46354</x:v>
      </x:c>
      <x:c r="D68" s="22" t="str">
        <x:v>خروجی</x:v>
      </x:c>
      <x:c r="E68" s="261" t="str">
        <x:v>ثابت و اداری</x:v>
      </x:c>
      <x:c r="F68" s="261" t="str"/>
      <x:c r="G68" s="261" t="str"/>
      <x:c r="H68" s="262" t="n">
        <x:v>8000000</x:v>
      </x:c>
      <x:c r="I68" s="261" t="str">
        <x:v>پیش‌بینی</x:v>
      </x:c>
      <x:c r="J68" s="261" t="str">
        <x:v>عملیات</x:v>
      </x:c>
      <x:c r="K68" s="261" t="str">
        <x:v>مالی</x:v>
      </x:c>
      <x:c r="L68" s="261" t="str">
        <x:v>SRC-DEMO</x:v>
      </x:c>
      <x:c r="M68" s="261" t="str">
        <x:v>نمونه آموزشی</x:v>
      </x:c>
      <x:c r="N68" s="3"/>
    </x:row>
    <x:row r="69" ht="15" hidden="0" customHeight="1">
      <x:c r="A69" s="22" t="str">
        <x:v>DEMO-IN-12</x:v>
      </x:c>
      <x:c r="B69" s="29" t="n">
        <x:v>46358</x:v>
      </x:c>
      <x:c r="C69" s="29" t="n">
        <x:v>46358</x:v>
      </x:c>
      <x:c r="D69" s="22" t="str">
        <x:v>ورودی</x:v>
      </x:c>
      <x:c r="E69" s="261" t="str">
        <x:v>وصول فروش</x:v>
      </x:c>
      <x:c r="F69" s="261" t="str">
        <x:v>نمونه-SKU01</x:v>
      </x:c>
      <x:c r="G69" s="261" t="str">
        <x:v>فروشگاه آنلاین</x:v>
      </x:c>
      <x:c r="H69" s="262" t="n">
        <x:v>50000000</x:v>
      </x:c>
      <x:c r="I69" s="261" t="str">
        <x:v>پیش‌بینی</x:v>
      </x:c>
      <x:c r="J69" s="261" t="str">
        <x:v>مشتریان</x:v>
      </x:c>
      <x:c r="K69" s="261" t="str">
        <x:v>مالی</x:v>
      </x:c>
      <x:c r="L69" s="261" t="str">
        <x:v>SRC-DEMO</x:v>
      </x:c>
      <x:c r="M69" s="261" t="str">
        <x:v>نمونه آموزشی</x:v>
      </x:c>
      <x:c r="N69" s="3"/>
    </x:row>
    <x:row r="70" ht="15" hidden="0" customHeight="1">
      <x:c r="A70" s="22" t="str">
        <x:v>DEMO-MKT-12</x:v>
      </x:c>
      <x:c r="B70" s="29" t="n">
        <x:v>46360</x:v>
      </x:c>
      <x:c r="C70" s="29" t="n">
        <x:v>46360</x:v>
      </x:c>
      <x:c r="D70" s="22" t="str">
        <x:v>خروجی</x:v>
      </x:c>
      <x:c r="E70" s="261" t="str">
        <x:v>بازاریابی و جذب</x:v>
      </x:c>
      <x:c r="F70" s="261" t="str">
        <x:v>نمونه-SKU01</x:v>
      </x:c>
      <x:c r="G70" s="261" t="str">
        <x:v>فروشگاه آنلاین</x:v>
      </x:c>
      <x:c r="H70" s="262" t="n">
        <x:v>20000000</x:v>
      </x:c>
      <x:c r="I70" s="261" t="str">
        <x:v>پیش‌بینی</x:v>
      </x:c>
      <x:c r="J70" s="261" t="str">
        <x:v>رسانه</x:v>
      </x:c>
      <x:c r="K70" s="261" t="str">
        <x:v>بازاریابی</x:v>
      </x:c>
      <x:c r="L70" s="261" t="str">
        <x:v>SRC-DEMO</x:v>
      </x:c>
      <x:c r="M70" s="261" t="str">
        <x:v>نمونه آموزشی</x:v>
      </x:c>
      <x:c r="N70" s="3"/>
    </x:row>
    <x:row r="71" ht="15" hidden="0" customHeight="1">
      <x:c r="A71" s="22" t="str">
        <x:v>DEMO-FIX-12</x:v>
      </x:c>
      <x:c r="B71" s="29" t="n">
        <x:v>46361</x:v>
      </x:c>
      <x:c r="C71" s="29" t="n">
        <x:v>46361</x:v>
      </x:c>
      <x:c r="D71" s="22" t="str">
        <x:v>خروجی</x:v>
      </x:c>
      <x:c r="E71" s="261" t="str">
        <x:v>ثابت و اداری</x:v>
      </x:c>
      <x:c r="F71" s="261" t="str"/>
      <x:c r="G71" s="261" t="str"/>
      <x:c r="H71" s="262" t="n">
        <x:v>8000000</x:v>
      </x:c>
      <x:c r="I71" s="261" t="str">
        <x:v>پیش‌بینی</x:v>
      </x:c>
      <x:c r="J71" s="261" t="str">
        <x:v>عملیات</x:v>
      </x:c>
      <x:c r="K71" s="261" t="str">
        <x:v>مالی</x:v>
      </x:c>
      <x:c r="L71" s="261" t="str">
        <x:v>SRC-DEMO</x:v>
      </x:c>
      <x:c r="M71" s="261" t="str">
        <x:v>نمونه آموزشی</x:v>
      </x:c>
      <x:c r="N71" s="3"/>
    </x:row>
    <x:row r="72" ht="15" hidden="0" customHeight="1">
      <x:c r="A72" s="22" t="str">
        <x:v>DEMO-IN-13</x:v>
      </x:c>
      <x:c r="B72" s="29" t="n">
        <x:v>46365</x:v>
      </x:c>
      <x:c r="C72" s="29" t="n">
        <x:v>46365</x:v>
      </x:c>
      <x:c r="D72" s="22" t="str">
        <x:v>ورودی</x:v>
      </x:c>
      <x:c r="E72" s="261" t="str">
        <x:v>وصول فروش</x:v>
      </x:c>
      <x:c r="F72" s="261" t="str">
        <x:v>نمونه-SKU01</x:v>
      </x:c>
      <x:c r="G72" s="261" t="str">
        <x:v>فروشگاه آنلاین</x:v>
      </x:c>
      <x:c r="H72" s="262" t="n">
        <x:v>52000000</x:v>
      </x:c>
      <x:c r="I72" s="261" t="str">
        <x:v>پیش‌بینی</x:v>
      </x:c>
      <x:c r="J72" s="261" t="str">
        <x:v>مشتریان</x:v>
      </x:c>
      <x:c r="K72" s="261" t="str">
        <x:v>مالی</x:v>
      </x:c>
      <x:c r="L72" s="261" t="str">
        <x:v>SRC-DEMO</x:v>
      </x:c>
      <x:c r="M72" s="261" t="str">
        <x:v>نمونه آموزشی</x:v>
      </x:c>
      <x:c r="N72" s="3"/>
    </x:row>
    <x:row r="73" ht="15" hidden="0" customHeight="1">
      <x:c r="A73" s="22" t="str">
        <x:v>DEMO-MKT-13</x:v>
      </x:c>
      <x:c r="B73" s="29" t="n">
        <x:v>46367</x:v>
      </x:c>
      <x:c r="C73" s="29" t="n">
        <x:v>46367</x:v>
      </x:c>
      <x:c r="D73" s="22" t="str">
        <x:v>خروجی</x:v>
      </x:c>
      <x:c r="E73" s="261" t="str">
        <x:v>بازاریابی و جذب</x:v>
      </x:c>
      <x:c r="F73" s="261" t="str">
        <x:v>نمونه-SKU01</x:v>
      </x:c>
      <x:c r="G73" s="261" t="str">
        <x:v>فروشگاه آنلاین</x:v>
      </x:c>
      <x:c r="H73" s="262" t="n">
        <x:v>20000000</x:v>
      </x:c>
      <x:c r="I73" s="261" t="str">
        <x:v>پیش‌بینی</x:v>
      </x:c>
      <x:c r="J73" s="261" t="str">
        <x:v>رسانه</x:v>
      </x:c>
      <x:c r="K73" s="261" t="str">
        <x:v>بازاریابی</x:v>
      </x:c>
      <x:c r="L73" s="261" t="str">
        <x:v>SRC-DEMO</x:v>
      </x:c>
      <x:c r="M73" s="261" t="str">
        <x:v>نمونه آموزشی</x:v>
      </x:c>
      <x:c r="N73" s="3"/>
    </x:row>
    <x:row r="74" ht="15" hidden="0" customHeight="1">
      <x:c r="A74" s="22" t="str">
        <x:v>DEMO-FIX-13</x:v>
      </x:c>
      <x:c r="B74" s="29" t="n">
        <x:v>46368</x:v>
      </x:c>
      <x:c r="C74" s="29" t="n">
        <x:v>46368</x:v>
      </x:c>
      <x:c r="D74" s="22" t="str">
        <x:v>خروجی</x:v>
      </x:c>
      <x:c r="E74" s="261" t="str">
        <x:v>ثابت و اداری</x:v>
      </x:c>
      <x:c r="F74" s="261" t="str"/>
      <x:c r="G74" s="261" t="str"/>
      <x:c r="H74" s="262" t="n">
        <x:v>8000000</x:v>
      </x:c>
      <x:c r="I74" s="261" t="str">
        <x:v>پیش‌بینی</x:v>
      </x:c>
      <x:c r="J74" s="261" t="str">
        <x:v>عملیات</x:v>
      </x:c>
      <x:c r="K74" s="261" t="str">
        <x:v>مالی</x:v>
      </x:c>
      <x:c r="L74" s="261" t="str">
        <x:v>SRC-DEMO</x:v>
      </x:c>
      <x:c r="M74" s="261" t="str">
        <x:v>نمونه آموزشی</x:v>
      </x:c>
      <x:c r="N74" s="3"/>
    </x:row>
    <x:row r="75" ht="15" hidden="0" customHeight="1">
      <x:c r="A75" s="22" t="str">
        <x:v>DEMO-SUP-01</x:v>
      </x:c>
      <x:c r="B75" s="29" t="n">
        <x:v>46280</x:v>
      </x:c>
      <x:c r="C75" s="29" t="n">
        <x:v>46280</x:v>
      </x:c>
      <x:c r="D75" s="22" t="str">
        <x:v>خروجی</x:v>
      </x:c>
      <x:c r="E75" s="261" t="str">
        <x:v>تولید و تأمین‌کننده</x:v>
      </x:c>
      <x:c r="F75" s="261" t="str">
        <x:v>نمونه-SKU01</x:v>
      </x:c>
      <x:c r="G75" s="261" t="str"/>
      <x:c r="H75" s="262" t="n">
        <x:v>100000000</x:v>
      </x:c>
      <x:c r="I75" s="261" t="str">
        <x:v>پیش‌بینی</x:v>
      </x:c>
      <x:c r="J75" s="261" t="str">
        <x:v>تولیدکننده</x:v>
      </x:c>
      <x:c r="K75" s="261" t="str">
        <x:v>تأمین</x:v>
      </x:c>
      <x:c r="L75" s="261" t="str">
        <x:v>SRC-DEMO</x:v>
      </x:c>
      <x:c r="M75" s="261" t="str">
        <x:v>نمونه آموزشی</x:v>
      </x:c>
      <x:c r="N75" s="3"/>
    </x:row>
    <x:row r="76" ht="15" hidden="0" customHeight="1">
      <x:c r="A76" s="22" t="str">
        <x:v>DEMO-SUP-05</x:v>
      </x:c>
      <x:c r="B76" s="29" t="n">
        <x:v>46308</x:v>
      </x:c>
      <x:c r="C76" s="29" t="n">
        <x:v>46308</x:v>
      </x:c>
      <x:c r="D76" s="22" t="str">
        <x:v>خروجی</x:v>
      </x:c>
      <x:c r="E76" s="261" t="str">
        <x:v>تولید و تأمین‌کننده</x:v>
      </x:c>
      <x:c r="F76" s="261" t="str">
        <x:v>نمونه-SKU01</x:v>
      </x:c>
      <x:c r="G76" s="261" t="str"/>
      <x:c r="H76" s="262" t="n">
        <x:v>100000000</x:v>
      </x:c>
      <x:c r="I76" s="261" t="str">
        <x:v>پیش‌بینی</x:v>
      </x:c>
      <x:c r="J76" s="261" t="str">
        <x:v>تولیدکننده</x:v>
      </x:c>
      <x:c r="K76" s="261" t="str">
        <x:v>تأمین</x:v>
      </x:c>
      <x:c r="L76" s="261" t="str">
        <x:v>SRC-DEMO</x:v>
      </x:c>
      <x:c r="M76" s="261" t="str">
        <x:v>نمونه آموزشی</x:v>
      </x:c>
      <x:c r="N76" s="3"/>
    </x:row>
    <x:row r="77" ht="15" hidden="0" customHeight="1">
      <x:c r="A77" s="22" t="str">
        <x:v>DEMO-SUP-09</x:v>
      </x:c>
      <x:c r="B77" s="29" t="n">
        <x:v>46336</x:v>
      </x:c>
      <x:c r="C77" s="29" t="n">
        <x:v>46336</x:v>
      </x:c>
      <x:c r="D77" s="22" t="str">
        <x:v>خروجی</x:v>
      </x:c>
      <x:c r="E77" s="261" t="str">
        <x:v>تولید و تأمین‌کننده</x:v>
      </x:c>
      <x:c r="F77" s="261" t="str">
        <x:v>نمونه-SKU01</x:v>
      </x:c>
      <x:c r="G77" s="261" t="str"/>
      <x:c r="H77" s="262" t="n">
        <x:v>100000000</x:v>
      </x:c>
      <x:c r="I77" s="261" t="str">
        <x:v>پیش‌بینی</x:v>
      </x:c>
      <x:c r="J77" s="261" t="str">
        <x:v>تولیدکننده</x:v>
      </x:c>
      <x:c r="K77" s="261" t="str">
        <x:v>تأمین</x:v>
      </x:c>
      <x:c r="L77" s="261" t="str">
        <x:v>SRC-DEMO</x:v>
      </x:c>
      <x:c r="M77" s="261" t="str">
        <x:v>نمونه آموزشی</x:v>
      </x:c>
      <x:c r="N77" s="3"/>
    </x:row>
    <x:row r="78" ht="15" hidden="0" customHeight="1">
      <x:c r="A78" s="22" t="str">
        <x:v>DEMO-RET-04</x:v>
      </x:c>
      <x:c r="B78" s="29" t="n">
        <x:v>46303</x:v>
      </x:c>
      <x:c r="C78" s="29" t="n">
        <x:v>46303</x:v>
      </x:c>
      <x:c r="D78" s="22" t="str">
        <x:v>خروجی</x:v>
      </x:c>
      <x:c r="E78" s="261" t="str">
        <x:v>مرجوعی، گارانتی و خدمت</x:v>
      </x:c>
      <x:c r="F78" s="261" t="str">
        <x:v>نمونه-SKU01</x:v>
      </x:c>
      <x:c r="G78" s="261" t="str">
        <x:v>فروشگاه آنلاین</x:v>
      </x:c>
      <x:c r="H78" s="262" t="n">
        <x:v>3000000</x:v>
      </x:c>
      <x:c r="I78" s="261" t="str">
        <x:v>پیش‌بینی</x:v>
      </x:c>
      <x:c r="J78" s="261" t="str">
        <x:v>مشتریان</x:v>
      </x:c>
      <x:c r="K78" s="261" t="str">
        <x:v>خدمات</x:v>
      </x:c>
      <x:c r="L78" s="261" t="str">
        <x:v>SRC-DEMO</x:v>
      </x:c>
      <x:c r="M78" s="261" t="str">
        <x:v>نمونه آموزشی</x:v>
      </x:c>
      <x:c r="N78" s="3"/>
    </x:row>
    <x:row r="79" ht="15" hidden="0" customHeight="1">
      <x:c r="A79" s="22" t="str">
        <x:v>DEMO-RET-08</x:v>
      </x:c>
      <x:c r="B79" s="29" t="n">
        <x:v>46331</x:v>
      </x:c>
      <x:c r="C79" s="29" t="n">
        <x:v>46331</x:v>
      </x:c>
      <x:c r="D79" s="22" t="str">
        <x:v>خروجی</x:v>
      </x:c>
      <x:c r="E79" s="261" t="str">
        <x:v>مرجوعی، گارانتی و خدمت</x:v>
      </x:c>
      <x:c r="F79" s="261" t="str">
        <x:v>نمونه-SKU01</x:v>
      </x:c>
      <x:c r="G79" s="261" t="str">
        <x:v>فروشگاه آنلاین</x:v>
      </x:c>
      <x:c r="H79" s="262" t="n">
        <x:v>3000000</x:v>
      </x:c>
      <x:c r="I79" s="261" t="str">
        <x:v>پیش‌بینی</x:v>
      </x:c>
      <x:c r="J79" s="261" t="str">
        <x:v>مشتریان</x:v>
      </x:c>
      <x:c r="K79" s="261" t="str">
        <x:v>خدمات</x:v>
      </x:c>
      <x:c r="L79" s="261" t="str">
        <x:v>SRC-DEMO</x:v>
      </x:c>
      <x:c r="M79" s="261" t="str">
        <x:v>نمونه آموزشی</x:v>
      </x:c>
      <x:c r="N79" s="3"/>
    </x:row>
    <x:row r="80" ht="15" hidden="0" customHeight="1">
      <x:c r="A80" s="22" t="str">
        <x:v>DEMO-RET-12</x:v>
      </x:c>
      <x:c r="B80" s="29" t="n">
        <x:v>46359</x:v>
      </x:c>
      <x:c r="C80" s="29" t="n">
        <x:v>46359</x:v>
      </x:c>
      <x:c r="D80" s="22" t="str">
        <x:v>خروجی</x:v>
      </x:c>
      <x:c r="E80" s="261" t="str">
        <x:v>مرجوعی، گارانتی و خدمت</x:v>
      </x:c>
      <x:c r="F80" s="261" t="str">
        <x:v>نمونه-SKU01</x:v>
      </x:c>
      <x:c r="G80" s="261" t="str">
        <x:v>فروشگاه آنلاین</x:v>
      </x:c>
      <x:c r="H80" s="262" t="n">
        <x:v>3000000</x:v>
      </x:c>
      <x:c r="I80" s="261" t="str">
        <x:v>پیش‌بینی</x:v>
      </x:c>
      <x:c r="J80" s="261" t="str">
        <x:v>مشتریان</x:v>
      </x:c>
      <x:c r="K80" s="261" t="str">
        <x:v>خدمات</x:v>
      </x:c>
      <x:c r="L80" s="261" t="str">
        <x:v>SRC-DEMO</x:v>
      </x:c>
      <x:c r="M80" s="261" t="str">
        <x:v>نمونه آموزشی</x:v>
      </x:c>
      <x:c r="N80" s="3"/>
    </x:row>
    <x:row r="81" ht="15" hidden="0" customHeight="1">
      <x:c r="A81" s="22" t="str">
        <x:v>DEMO-AR-01</x:v>
      </x:c>
      <x:c r="B81" s="29" t="n">
        <x:v>46270</x:v>
      </x:c>
      <x:c r="C81" s="29" t="n">
        <x:v>46270</x:v>
      </x:c>
      <x:c r="D81" s="22" t="str">
        <x:v>ورودی</x:v>
      </x:c>
      <x:c r="E81" s="261" t="str">
        <x:v>وصول فروش</x:v>
      </x:c>
      <x:c r="F81" s="261" t="str">
        <x:v>نمونه-SKU01</x:v>
      </x:c>
      <x:c r="G81" s="261" t="str">
        <x:v>نماینده / توزیع‌کننده</x:v>
      </x:c>
      <x:c r="H81" s="262" t="n">
        <x:v>25000000</x:v>
      </x:c>
      <x:c r="I81" s="261" t="str">
        <x:v>عقب‌افتاده</x:v>
      </x:c>
      <x:c r="J81" s="261" t="str">
        <x:v>نماینده نمونه</x:v>
      </x:c>
      <x:c r="K81" s="261" t="str">
        <x:v>مالی</x:v>
      </x:c>
      <x:c r="L81" s="261" t="str">
        <x:v>SRC-DEMO</x:v>
      </x:c>
      <x:c r="M81" s="261" t="str">
        <x:v>نمونه آموزشی</x:v>
      </x:c>
      <x:c r="N81" s="3"/>
    </x:row>
    <x:row r="82" ht="15" hidden="0" customHeight="1">
      <x:c r="A82" s="22"/>
      <x:c r="B82" s="29"/>
      <x:c r="C82" s="29"/>
      <x:c r="D82" s="22"/>
      <x:c r="E82" s="261"/>
      <x:c r="F82" s="261"/>
      <x:c r="G82" s="261"/>
      <x:c r="H82" s="262"/>
      <x:c r="I82" s="261"/>
      <x:c r="J82" s="261"/>
      <x:c r="K82" s="261"/>
      <x:c r="L82" s="261"/>
      <x:c r="M82" s="261"/>
      <x:c r="N82" s="3"/>
    </x:row>
    <x:row r="83" ht="15" hidden="0" customHeight="1">
      <x:c r="A83" s="22"/>
      <x:c r="B83" s="29"/>
      <x:c r="C83" s="29"/>
      <x:c r="D83" s="22"/>
      <x:c r="E83" s="261"/>
      <x:c r="F83" s="261"/>
      <x:c r="G83" s="261"/>
      <x:c r="H83" s="262"/>
      <x:c r="I83" s="261"/>
      <x:c r="J83" s="261"/>
      <x:c r="K83" s="261"/>
      <x:c r="L83" s="261"/>
      <x:c r="M83" s="261"/>
      <x:c r="N83" s="3"/>
    </x:row>
    <x:row r="84" ht="15" hidden="0" customHeight="1">
      <x:c r="A84" s="22"/>
      <x:c r="B84" s="29"/>
      <x:c r="C84" s="29"/>
      <x:c r="D84" s="22"/>
      <x:c r="E84" s="261"/>
      <x:c r="F84" s="261"/>
      <x:c r="G84" s="261"/>
      <x:c r="H84" s="262"/>
      <x:c r="I84" s="261"/>
      <x:c r="J84" s="261"/>
      <x:c r="K84" s="261"/>
      <x:c r="L84" s="261"/>
      <x:c r="M84" s="261"/>
      <x:c r="N84" s="3"/>
    </x:row>
    <x:row r="85" ht="15" hidden="0" customHeight="1">
      <x:c r="A85" s="22"/>
      <x:c r="B85" s="29"/>
      <x:c r="C85" s="29"/>
      <x:c r="D85" s="22"/>
      <x:c r="E85" s="261"/>
      <x:c r="F85" s="261"/>
      <x:c r="G85" s="261"/>
      <x:c r="H85" s="262"/>
      <x:c r="I85" s="261"/>
      <x:c r="J85" s="261"/>
      <x:c r="K85" s="261"/>
      <x:c r="L85" s="261"/>
      <x:c r="M85" s="261"/>
      <x:c r="N85" s="3"/>
    </x:row>
    <x:row r="86" ht="15" hidden="0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</x:row>
  </x:sheetData>
  <x:mergeCells>
    <x:mergeCell ref="A1:N2"/>
    <x:mergeCell ref="A3:N3"/>
    <x:mergeCell ref="B5:C5"/>
    <x:mergeCell ref="E5:F5"/>
    <x:mergeCell ref="H5:I5"/>
    <x:mergeCell ref="K5:L5"/>
    <x:mergeCell ref="A7:N7"/>
    <x:mergeCell ref="A33:N33"/>
    <x:mergeCell ref="A34:N34"/>
  </x:mergeCells>
  <x:conditionalFormatting sqref="N5:N5">
    <x:cfRule type="containsText" dxfId="83" priority="1" operator="containsText" text="قرمز"/>
    <x:cfRule type="containsText" dxfId="84" priority="2" operator="containsText" text="بحرانی"/>
    <x:cfRule type="containsText" dxfId="85" priority="3" operator="containsText" text="رد"/>
    <x:cfRule type="containsText" dxfId="86" priority="4" operator="containsText" text="متوقف"/>
    <x:cfRule type="containsText" dxfId="87" priority="5" operator="containsText" text="عقب‌افتاده"/>
    <x:cfRule type="containsText" dxfId="88" priority="6" operator="containsText" text="نامعتبر"/>
    <x:cfRule type="containsText" dxfId="89" priority="7" operator="containsText" text="زرد"/>
    <x:cfRule type="containsText" dxfId="90" priority="8" operator="containsText" text="باز"/>
    <x:cfRule type="containsText" dxfId="91" priority="9" operator="containsText" text="نیازمند اصلاح"/>
    <x:cfRule type="containsText" dxfId="92" priority="10" operator="containsText" text="در انتظار"/>
    <x:cfRule type="containsText" dxfId="93" priority="11" operator="containsText" text="نمونه آموزشی"/>
    <x:cfRule type="containsText" dxfId="94" priority="12" operator="containsText" text="سبز"/>
    <x:cfRule type="containsText" dxfId="95" priority="13" operator="containsText" text="بسته"/>
    <x:cfRule type="containsText" dxfId="96" priority="14" operator="containsText" text="تأیید"/>
    <x:cfRule type="containsText" dxfId="97" priority="15" operator="containsText" text="آزادشده"/>
    <x:cfRule type="containsText" dxfId="98" priority="16" operator="containsText" text="انجام‌شده"/>
    <x:cfRule type="containsText" dxfId="99" priority="17" operator="containsText" text="خاکستری"/>
    <x:cfRule type="containsText" dxfId="100" priority="18" operator="containsText" text="نابالغ"/>
    <x:cfRule type="containsText" dxfId="101" priority="19" operator="containsText" text="پنجره کامل نشده"/>
    <x:cfRule type="containsText" dxfId="102" priority="20" operator="containsText" text="n.a."/>
  </x:conditionalFormatting>
  <x:conditionalFormatting sqref="B27:N27">
    <x:cfRule type="containsText" dxfId="103" priority="21" operator="containsText" text="قرمز"/>
    <x:cfRule type="containsText" dxfId="104" priority="22" operator="containsText" text="بحرانی"/>
    <x:cfRule type="containsText" dxfId="105" priority="23" operator="containsText" text="رد"/>
    <x:cfRule type="containsText" dxfId="106" priority="24" operator="containsText" text="متوقف"/>
    <x:cfRule type="containsText" dxfId="107" priority="25" operator="containsText" text="عقب‌افتاده"/>
    <x:cfRule type="containsText" dxfId="108" priority="26" operator="containsText" text="نامعتبر"/>
    <x:cfRule type="containsText" dxfId="109" priority="27" operator="containsText" text="زرد"/>
    <x:cfRule type="containsText" dxfId="110" priority="28" operator="containsText" text="باز"/>
    <x:cfRule type="containsText" dxfId="111" priority="29" operator="containsText" text="نیازمند اصلاح"/>
    <x:cfRule type="containsText" dxfId="112" priority="30" operator="containsText" text="در انتظار"/>
    <x:cfRule type="containsText" dxfId="113" priority="31" operator="containsText" text="نمونه آموزشی"/>
    <x:cfRule type="containsText" dxfId="114" priority="32" operator="containsText" text="سبز"/>
    <x:cfRule type="containsText" dxfId="115" priority="33" operator="containsText" text="بسته"/>
    <x:cfRule type="containsText" dxfId="116" priority="34" operator="containsText" text="تأیید"/>
    <x:cfRule type="containsText" dxfId="117" priority="35" operator="containsText" text="آزادشده"/>
    <x:cfRule type="containsText" dxfId="118" priority="36" operator="containsText" text="انجام‌شده"/>
    <x:cfRule type="containsText" dxfId="119" priority="37" operator="containsText" text="خاکستری"/>
    <x:cfRule type="containsText" dxfId="120" priority="38" operator="containsText" text="نابالغ"/>
    <x:cfRule type="containsText" dxfId="121" priority="39" operator="containsText" text="پنجره کامل نشده"/>
    <x:cfRule type="containsText" dxfId="122" priority="40" operator="containsText" text="n.a."/>
  </x:conditionalFormatting>
  <x:conditionalFormatting sqref="B26:N26">
    <x:cfRule type="cellIs" dxfId="123" priority="41" operator="lessThan">
      <x:formula>0</x:formula>
    </x:cfRule>
  </x:conditionalFormatting>
  <x:conditionalFormatting sqref="I36:I85">
    <x:cfRule type="containsText" dxfId="124" priority="42" operator="containsText" text="قرمز"/>
    <x:cfRule type="containsText" dxfId="125" priority="43" operator="containsText" text="بحرانی"/>
    <x:cfRule type="containsText" dxfId="126" priority="44" operator="containsText" text="رد"/>
    <x:cfRule type="containsText" dxfId="127" priority="45" operator="containsText" text="متوقف"/>
    <x:cfRule type="containsText" dxfId="128" priority="46" operator="containsText" text="عقب‌افتاده"/>
    <x:cfRule type="containsText" dxfId="129" priority="47" operator="containsText" text="نامعتبر"/>
    <x:cfRule type="containsText" dxfId="130" priority="48" operator="containsText" text="زرد"/>
    <x:cfRule type="containsText" dxfId="131" priority="49" operator="containsText" text="باز"/>
    <x:cfRule type="containsText" dxfId="132" priority="50" operator="containsText" text="نیازمند اصلاح"/>
    <x:cfRule type="containsText" dxfId="133" priority="51" operator="containsText" text="در انتظار"/>
    <x:cfRule type="containsText" dxfId="134" priority="52" operator="containsText" text="نمونه آموزشی"/>
    <x:cfRule type="containsText" dxfId="135" priority="53" operator="containsText" text="سبز"/>
    <x:cfRule type="containsText" dxfId="136" priority="54" operator="containsText" text="بسته"/>
    <x:cfRule type="containsText" dxfId="137" priority="55" operator="containsText" text="تأیید"/>
    <x:cfRule type="containsText" dxfId="138" priority="56" operator="containsText" text="آزادشده"/>
    <x:cfRule type="containsText" dxfId="139" priority="57" operator="containsText" text="انجام‌شده"/>
    <x:cfRule type="containsText" dxfId="140" priority="58" operator="containsText" text="خاکستری"/>
    <x:cfRule type="containsText" dxfId="141" priority="59" operator="containsText" text="نابالغ"/>
    <x:cfRule type="containsText" dxfId="142" priority="60" operator="containsText" text="پنجره کامل نشده"/>
    <x:cfRule type="containsText" dxfId="143" priority="61" operator="containsText" text="n.a."/>
  </x:conditionalFormatting>
  <x:dataValidations count="3">
    <x:dataValidation type="list" sqref="D36:D85">
      <x:formula1>"ورودی,خروجی"</x:formula1>
    </x:dataValidation>
    <x:dataValidation type="list" sqref="E36:E85">
      <x:formula1>"وصول فروش,سایر ورودی,تولید و تأمین‌کننده,بسته‌بندی و لجستیک,بازاریابی و جذب,ثابت و اداری,مالیات و حقوقی,مرجوعی، گارانتی و خدمت,سرمایه‌گذاری و سایر"</x:formula1>
    </x:dataValidation>
    <x:dataValidation type="list" sqref="I36:I85">
      <x:formula1>"پیش‌بینی,قطعی,وصول‌شده,پرداخت‌شده,عقب‌افتاده,لغو"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6954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3" hidden="0" customWidth="1"/>
    <x:col min="8" max="8" width="24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4" customHeight="1">
      <x:c r="A1" s="7" t="str">
        <x:v>T07 | سناریو و حساسیت</x:v>
      </x:c>
      <x:c r="B1" s="7" t="str">
        <x:v>T07 | سناریو و حساسیت</x:v>
      </x:c>
      <x:c r="C1" s="7" t="str">
        <x:v>T07 | سناریو و حساسیت</x:v>
      </x:c>
      <x:c r="D1" s="7" t="str">
        <x:v>T07 | سناریو و حساسیت</x:v>
      </x:c>
      <x:c r="E1" s="7" t="str">
        <x:v>T07 | سناریو و حساسیت</x:v>
      </x:c>
      <x:c r="F1" s="7" t="str">
        <x:v>T07 | سناریو و حساسیت</x:v>
      </x:c>
      <x:c r="G1" s="7" t="str">
        <x:v>T07 | سناریو و حساسیت</x:v>
      </x:c>
      <x:c r="H1" s="7" t="str">
        <x:v>T07 | سناریو و حساسیت</x:v>
      </x:c>
      <x:c r="I1" s="7" t="str">
        <x:v>T07 | سناریو و حساسیت</x:v>
      </x:c>
      <x:c r="J1" s="7" t="str">
        <x:v>T07 | سناریو و حساسیت</x:v>
      </x:c>
      <x:c r="K1" s="7" t="str">
        <x:v>T07 | سناریو و حساسیت</x:v>
      </x:c>
      <x:c r="L1" s="7" t="str">
        <x:v>T07 | سناریو و حساسیت</x:v>
      </x:c>
      <x:c r="M1" s="7" t="str">
        <x:v>T07 | سناریو و حساسیت</x:v>
      </x:c>
    </x:row>
    <x:row r="2" ht="34" customHeight="1">
      <x:c r="A2" s="7" t="str">
        <x:v>T07 | سناریو و حساسیت</x:v>
      </x:c>
      <x:c r="B2" s="7" t="str">
        <x:v>T07 | سناریو و حساسیت</x:v>
      </x:c>
      <x:c r="C2" s="7" t="str">
        <x:v>T07 | سناریو و حساسیت</x:v>
      </x:c>
      <x:c r="D2" s="7" t="str">
        <x:v>T07 | سناریو و حساسیت</x:v>
      </x:c>
      <x:c r="E2" s="7" t="str">
        <x:v>T07 | سناریو و حساسیت</x:v>
      </x:c>
      <x:c r="F2" s="7" t="str">
        <x:v>T07 | سناریو و حساسیت</x:v>
      </x:c>
      <x:c r="G2" s="7" t="str">
        <x:v>T07 | سناریو و حساسیت</x:v>
      </x:c>
      <x:c r="H2" s="7" t="str">
        <x:v>T07 | سناریو و حساسیت</x:v>
      </x:c>
      <x:c r="I2" s="7" t="str">
        <x:v>T07 | سناریو و حساسیت</x:v>
      </x:c>
      <x:c r="J2" s="7" t="str">
        <x:v>T07 | سناریو و حساسیت</x:v>
      </x:c>
      <x:c r="K2" s="7" t="str">
        <x:v>T07 | سناریو و حساسیت</x:v>
      </x:c>
      <x:c r="L2" s="7" t="str">
        <x:v>T07 | سناریو و حساسیت</x:v>
      </x:c>
      <x:c r="M2" s="7" t="str">
        <x:v>T07 | سناریو و حساسیت</x:v>
      </x:c>
    </x:row>
    <x:row r="3" ht="15" hidden="0" customHeight="1">
      <x:c r="A3" s="89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B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C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D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E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F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G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H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I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J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K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L3" s="90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  <x:c r="M3" s="91" t="str">
        <x:v>سناریوها از یک مدل واحد و یک مجموعه داده پایه ساخته می‌شوند. مانده نقد سناریویی برآورد ساده پایان دوره است؛ تصمیم نقد با تقویم ۱۳ هفته‌ای گرفته شود.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15" hidden="0" customHeight="1">
      <x:c r="A5" s="146" t="str">
        <x:v>سناریوی فعال</x:v>
      </x:c>
      <x:c r="B5" s="148" t="str">
        <x:f>'فرض‌ها و منابع'!$C$5</x:f>
        <x:v>پایه</x:v>
      </x:c>
      <x:c r="C5" s="148" t="str">
        <x:v>شماره</x:v>
      </x:c>
      <x:c r="D5" s="148" t="n">
        <x:f>'فرض‌ها و منابع'!$B$5</x:f>
        <x:v>2</x:v>
      </x:c>
      <x:c r="E5" s="148" t="str">
        <x:v>وضعیت داده</x:v>
      </x:c>
      <x:c r="F5" s="148" t="str">
        <x:f>'فرض‌ها و منابع'!$B$6</x:f>
        <x:v>نمونه آموزشی: پیش از استفاده واقعی جایگزین شود</x:v>
      </x:c>
      <x:c r="G5" s="3"/>
      <x:c r="H5" s="3"/>
      <x:c r="I5" s="3"/>
      <x:c r="J5" s="3"/>
      <x:c r="K5" s="3"/>
      <x:c r="L5" s="3"/>
      <x:c r="M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15" hidden="0" customHeight="1">
      <x:c r="A7" s="26" t="str">
        <x:v>مقایسه سه سناریو</x:v>
      </x:c>
      <x:c r="B7" s="27" t="str">
        <x:v>مقایسه سه سناریو</x:v>
      </x:c>
      <x:c r="C7" s="27" t="str">
        <x:v>مقایسه سه سناریو</x:v>
      </x:c>
      <x:c r="D7" s="27" t="str">
        <x:v>مقایسه سه سناریو</x:v>
      </x:c>
      <x:c r="E7" s="27" t="str">
        <x:v>مقایسه سه سناریو</x:v>
      </x:c>
      <x:c r="F7" s="28" t="str">
        <x:v>مقایسه سه سناریو</x:v>
      </x:c>
      <x:c r="G7" s="3"/>
      <x:c r="H7" s="26" t="str">
        <x:v>ماتریس حساسیت CM2</x:v>
      </x:c>
      <x:c r="I7" s="27" t="str">
        <x:v>ماتریس حساسیت CM2</x:v>
      </x:c>
      <x:c r="J7" s="27" t="str">
        <x:v>ماتریس حساسیت CM2</x:v>
      </x:c>
      <x:c r="K7" s="27" t="str">
        <x:v>ماتریس حساسیت CM2</x:v>
      </x:c>
      <x:c r="L7" s="27" t="str">
        <x:v>ماتریس حساسیت CM2</x:v>
      </x:c>
      <x:c r="M7" s="28" t="str">
        <x:v>ماتریس حساسیت CM2</x:v>
      </x:c>
    </x:row>
    <x:row r="8" ht="15" hidden="0" customHeight="1">
      <x:c r="A8" s="41" t="str">
        <x:v>شاخص</x:v>
      </x:c>
      <x:c r="B8" s="41" t="str">
        <x:v>واحد</x:v>
      </x:c>
      <x:c r="C8" s="41" t="str">
        <x:v>فعال</x:v>
      </x:c>
      <x:c r="D8" s="41" t="str">
        <x:v>مساعد</x:v>
      </x:c>
      <x:c r="E8" s="41" t="str">
        <x:v>پایه</x:v>
      </x:c>
      <x:c r="F8" s="41" t="str">
        <x:v>نامساعد</x:v>
      </x:c>
      <x:c r="G8" s="3"/>
      <x:c r="H8" s="41" t="str">
        <x:v>تغییر قیمت / COGS</x:v>
      </x:c>
      <x:c r="I8" s="150" t="n">
        <x:v>-0.1</x:v>
      </x:c>
      <x:c r="J8" s="150" t="n">
        <x:v>-0.05</x:v>
      </x:c>
      <x:c r="K8" s="150" t="n">
        <x:v>0</x:v>
      </x:c>
      <x:c r="L8" s="150" t="n">
        <x:v>0.05</x:v>
      </x:c>
      <x:c r="M8" s="150" t="n">
        <x:v>0.1</x:v>
      </x:c>
    </x:row>
    <x:row r="9" ht="15" hidden="0" customHeight="1">
      <x:c r="A9" s="232" t="str">
        <x:v>واحد فروش</x:v>
      </x:c>
      <x:c r="B9" s="232" t="str">
        <x:v>تعداد</x:v>
      </x:c>
      <x:c r="C9" s="143" t="n">
        <x:f>CHOOSE('فرض‌ها و منابع'!$B$5,D9,E9,F9)</x:f>
        <x:v>3720</x:v>
      </x:c>
      <x:c r="D9" s="82" t="n">
        <x:f>SUM('محصول و کانال'!$J$9:$J$88)*'فرض‌ها و منابع'!D$29</x:f>
        <x:v>4464</x:v>
      </x:c>
      <x:c r="E9" s="82" t="n">
        <x:f>SUM('محصول و کانال'!$J$9:$J$88)*'فرض‌ها و منابع'!E$29</x:f>
        <x:v>3720</x:v>
      </x:c>
      <x:c r="F9" s="82" t="n">
        <x:f>SUM('محصول و کانال'!$J$9:$J$88)*'فرض‌ها و منابع'!F$29</x:f>
        <x:v>2790</x:v>
      </x:c>
      <x:c r="G9" s="3"/>
      <x:c r="H9" s="152" t="n">
        <x:v>-0.1</x:v>
      </x:c>
      <x:c r="I9" s="82" t="n">
        <x:f>SUM('محصول و کانال'!$Q$9:$Q$88)*(1+$H9)-SUM('محصول و کانال'!$S$9:$S$88)*(1+I$8)-SUM('محصول و کانال'!$U$9:$U$88,'محصول و کانال'!$V$9:$V$88,'محصول و کانال'!$W$9:$W$88,'محصول و کانال'!$X$9:$X$88,'محصول و کانال'!$Z$9:$Z$88)-SUM('محصول و کانال'!$Y$9:$Y$88)</x:f>
        <x:v>427800000</x:v>
      </x:c>
      <x:c r="J9" s="82" t="n">
        <x:f>SUM('محصول و کانال'!$Q$9:$Q$88)*(1+$H9)-SUM('محصول و کانال'!$S$9:$S$88)*(1+J$8)-SUM('محصول و کانال'!$U$9:$U$88,'محصول و کانال'!$V$9:$V$88,'محصول و کانال'!$W$9:$W$88,'محصول و کانال'!$X$9:$X$88,'محصول و کانال'!$Z$9:$Z$88)-SUM('محصول و کانال'!$Y$9:$Y$88)</x:f>
        <x:v>344100000</x:v>
      </x:c>
      <x:c r="K9" s="82" t="n">
        <x:f>SUM('محصول و کانال'!$Q$9:$Q$88)*(1+$H9)-SUM('محصول و کانال'!$S$9:$S$88)*(1+K$8)-SUM('محصول و کانال'!$U$9:$U$88,'محصول و کانال'!$V$9:$V$88,'محصول و کانال'!$W$9:$W$88,'محصول و کانال'!$X$9:$X$88,'محصول و کانال'!$Z$9:$Z$88)-SUM('محصول و کانال'!$Y$9:$Y$88)</x:f>
        <x:v>260400000</x:v>
      </x:c>
      <x:c r="L9" s="82" t="n">
        <x:f>SUM('محصول و کانال'!$Q$9:$Q$88)*(1+$H9)-SUM('محصول و کانال'!$S$9:$S$88)*(1+L$8)-SUM('محصول و کانال'!$U$9:$U$88,'محصول و کانال'!$V$9:$V$88,'محصول و کانال'!$W$9:$W$88,'محصول و کانال'!$X$9:$X$88,'محصول و کانال'!$Z$9:$Z$88)-SUM('محصول و کانال'!$Y$9:$Y$88)</x:f>
        <x:v>176700000</x:v>
      </x:c>
      <x:c r="M9" s="82" t="n">
        <x:f>SUM('محصول و کانال'!$Q$9:$Q$88)*(1+$H9)-SUM('محصول و کانال'!$S$9:$S$88)*(1+M$8)-SUM('محصول و کانال'!$U$9:$U$88,'محصول و کانال'!$V$9:$V$88,'محصول و کانال'!$W$9:$W$88,'محصول و کانال'!$X$9:$X$88,'محصول و کانال'!$Z$9:$Z$88)-SUM('محصول و کانال'!$Y$9:$Y$88)</x:f>
        <x:v>92999999.99999976</x:v>
      </x:c>
    </x:row>
    <x:row r="10" ht="15" hidden="0" customHeight="1">
      <x:c r="A10" s="232" t="str">
        <x:v>فروش خالص</x:v>
      </x:c>
      <x:c r="B10" s="232" t="str">
        <x:v>تومان</x:v>
      </x:c>
      <x:c r="C10" s="143" t="n">
        <x:f>CHOOSE('فرض‌ها و منابع'!$B$5,D10,E10,F10)</x:f>
        <x:v>3348000000</x:v>
      </x:c>
      <x:c r="D10" s="82" t="n">
        <x:f>SUM('محصول و کانال'!$Q$9:$Q$88)*'فرض‌ها و منابع'!D$29*'فرض‌ها و منابع'!D$30*(1-'فرض‌ها و منابع'!D$34)</x:f>
        <x:v>4260664800</x:v>
      </x:c>
      <x:c r="E10" s="82" t="n">
        <x:f>SUM('محصول و کانال'!$Q$9:$Q$88)*'فرض‌ها و منابع'!E$29*'فرض‌ها و منابع'!E$30*(1-'فرض‌ها و منابع'!E$34)</x:f>
        <x:v>3348000000</x:v>
      </x:c>
      <x:c r="F10" s="82" t="n">
        <x:f>SUM('محصول و کانال'!$Q$9:$Q$88)*'فرض‌ها و منابع'!F$29*'فرض‌ها و منابع'!F$30*(1-'فرض‌ها و منابع'!F$34)</x:f>
        <x:v>2265173100</x:v>
      </x:c>
      <x:c r="G10" s="3"/>
      <x:c r="H10" s="152" t="n">
        <x:v>-0.05</x:v>
      </x:c>
      <x:c r="I10" s="82" t="n">
        <x:f>SUM('محصول و کانال'!$Q$9:$Q$88)*(1+$H10)-SUM('محصول و کانال'!$S$9:$S$88)*(1+I$8)-SUM('محصول و کانال'!$U$9:$U$88,'محصول و کانال'!$V$9:$V$88,'محصول و کانال'!$W$9:$W$88,'محصول و کانال'!$X$9:$X$88,'محصول و کانال'!$Z$9:$Z$88)-SUM('محصول و کانال'!$Y$9:$Y$88)</x:f>
        <x:v>595200000</x:v>
      </x:c>
      <x:c r="J10" s="82" t="n">
        <x:f>SUM('محصول و کانال'!$Q$9:$Q$88)*(1+$H10)-SUM('محصول و کانال'!$S$9:$S$88)*(1+J$8)-SUM('محصول و کانال'!$U$9:$U$88,'محصول و کانال'!$V$9:$V$88,'محصول و کانال'!$W$9:$W$88,'محصول و کانال'!$X$9:$X$88,'محصول و کانال'!$Z$9:$Z$88)-SUM('محصول و کانال'!$Y$9:$Y$88)</x:f>
        <x:v>511500000</x:v>
      </x:c>
      <x:c r="K10" s="82" t="n">
        <x:f>SUM('محصول و کانال'!$Q$9:$Q$88)*(1+$H10)-SUM('محصول و کانال'!$S$9:$S$88)*(1+K$8)-SUM('محصول و کانال'!$U$9:$U$88,'محصول و کانال'!$V$9:$V$88,'محصول و کانال'!$W$9:$W$88,'محصول و کانال'!$X$9:$X$88,'محصول و کانال'!$Z$9:$Z$88)-SUM('محصول و کانال'!$Y$9:$Y$88)</x:f>
        <x:v>427800000</x:v>
      </x:c>
      <x:c r="L10" s="82" t="n">
        <x:f>SUM('محصول و کانال'!$Q$9:$Q$88)*(1+$H10)-SUM('محصول و کانال'!$S$9:$S$88)*(1+L$8)-SUM('محصول و کانال'!$U$9:$U$88,'محصول و کانال'!$V$9:$V$88,'محصول و کانال'!$W$9:$W$88,'محصول و کانال'!$X$9:$X$88,'محصول و کانال'!$Z$9:$Z$88)-SUM('محصول و کانال'!$Y$9:$Y$88)</x:f>
        <x:v>344100000</x:v>
      </x:c>
      <x:c r="M10" s="82" t="n">
        <x:f>SUM('محصول و کانال'!$Q$9:$Q$88)*(1+$H10)-SUM('محصول و کانال'!$S$9:$S$88)*(1+M$8)-SUM('محصول و کانال'!$U$9:$U$88,'محصول و کانال'!$V$9:$V$88,'محصول و کانال'!$W$9:$W$88,'محصول و کانال'!$X$9:$X$88,'محصول و کانال'!$Z$9:$Z$88)-SUM('محصول و کانال'!$Y$9:$Y$88)</x:f>
        <x:v>260399999.99999976</x:v>
      </x:c>
    </x:row>
    <x:row r="11" ht="15" hidden="0" customHeight="1">
      <x:c r="A11" s="232" t="str">
        <x:v>COGS</x:v>
      </x:c>
      <x:c r="B11" s="232" t="str">
        <x:v>تومان</x:v>
      </x:c>
      <x:c r="C11" s="143" t="n">
        <x:f>CHOOSE('فرض‌ها و منابع'!$B$5,D11,E11,F11)</x:f>
        <x:v>1674000000</x:v>
      </x:c>
      <x:c r="D11" s="82" t="n">
        <x:f>SUM('محصول و کانال'!$S$9:$S$88)*'فرض‌ها و منابع'!D$29*'فرض‌ها و منابع'!D$31</x:f>
        <x:v>1908360000</x:v>
      </x:c>
      <x:c r="E11" s="82" t="n">
        <x:f>SUM('محصول و کانال'!$S$9:$S$88)*'فرض‌ها و منابع'!E$29*'فرض‌ها و منابع'!E$31</x:f>
        <x:v>1674000000</x:v>
      </x:c>
      <x:c r="F11" s="82" t="n">
        <x:f>SUM('محصول و کانال'!$S$9:$S$88)*'فرض‌ها و منابع'!F$29*'فرض‌ها و منابع'!F$31</x:f>
        <x:v>1443825000</x:v>
      </x:c>
      <x:c r="G11" s="3"/>
      <x:c r="H11" s="152" t="n">
        <x:v>0</x:v>
      </x:c>
      <x:c r="I11" s="82" t="n">
        <x:f>SUM('محصول و کانال'!$Q$9:$Q$88)*(1+$H11)-SUM('محصول و کانال'!$S$9:$S$88)*(1+I$8)-SUM('محصول و کانال'!$U$9:$U$88,'محصول و کانال'!$V$9:$V$88,'محصول و کانال'!$W$9:$W$88,'محصول و کانال'!$X$9:$X$88,'محصول و کانال'!$Z$9:$Z$88)-SUM('محصول و کانال'!$Y$9:$Y$88)</x:f>
        <x:v>762600000</x:v>
      </x:c>
      <x:c r="J11" s="82" t="n">
        <x:f>SUM('محصول و کانال'!$Q$9:$Q$88)*(1+$H11)-SUM('محصول و کانال'!$S$9:$S$88)*(1+J$8)-SUM('محصول و کانال'!$U$9:$U$88,'محصول و کانال'!$V$9:$V$88,'محصول و کانال'!$W$9:$W$88,'محصول و کانال'!$X$9:$X$88,'محصول و کانال'!$Z$9:$Z$88)-SUM('محصول و کانال'!$Y$9:$Y$88)</x:f>
        <x:v>678900000</x:v>
      </x:c>
      <x:c r="K11" s="82" t="n">
        <x:f>SUM('محصول و کانال'!$Q$9:$Q$88)*(1+$H11)-SUM('محصول و کانال'!$S$9:$S$88)*(1+K$8)-SUM('محصول و کانال'!$U$9:$U$88,'محصول و کانال'!$V$9:$V$88,'محصول و کانال'!$W$9:$W$88,'محصول و کانال'!$X$9:$X$88,'محصول و کانال'!$Z$9:$Z$88)-SUM('محصول و کانال'!$Y$9:$Y$88)</x:f>
        <x:v>595200000</x:v>
      </x:c>
      <x:c r="L11" s="82" t="n">
        <x:f>SUM('محصول و کانال'!$Q$9:$Q$88)*(1+$H11)-SUM('محصول و کانال'!$S$9:$S$88)*(1+L$8)-SUM('محصول و کانال'!$U$9:$U$88,'محصول و کانال'!$V$9:$V$88,'محصول و کانال'!$W$9:$W$88,'محصول و کانال'!$X$9:$X$88,'محصول و کانال'!$Z$9:$Z$88)-SUM('محصول و کانال'!$Y$9:$Y$88)</x:f>
        <x:v>511500000</x:v>
      </x:c>
      <x:c r="M11" s="82" t="n">
        <x:f>SUM('محصول و کانال'!$Q$9:$Q$88)*(1+$H11)-SUM('محصول و کانال'!$S$9:$S$88)*(1+M$8)-SUM('محصول و کانال'!$U$9:$U$88,'محصول و کانال'!$V$9:$V$88,'محصول و کانال'!$W$9:$W$88,'محصول و کانال'!$X$9:$X$88,'محصول و کانال'!$Z$9:$Z$88)-SUM('محصول و کانال'!$Y$9:$Y$88)</x:f>
        <x:v>427799999.99999976</x:v>
      </x:c>
    </x:row>
    <x:row r="12" ht="15" hidden="0" customHeight="1">
      <x:c r="A12" s="232" t="str">
        <x:v>متغیر کانال و خدمت</x:v>
      </x:c>
      <x:c r="B12" s="232" t="str">
        <x:v>تومان</x:v>
      </x:c>
      <x:c r="C12" s="143" t="n">
        <x:f>CHOOSE('فرض‌ها و منابع'!$B$5,D12,E12,F12)</x:f>
        <x:v>632400000</x:v>
      </x:c>
      <x:c r="D12" s="82" t="n">
        <x:f>SUM('محصول و کانال'!$U$9:$U$88,'محصول و کانال'!$V$9:$V$88,'محصول و کانال'!$W$9:$W$88,'محصول و کانال'!$X$9:$X$88,'محصول و کانال'!$Z$9:$Z$88)*'فرض‌ها و منابع'!D$29*'فرض‌ها و منابع'!D$32</x:f>
        <x:v>720936000</x:v>
      </x:c>
      <x:c r="E12" s="82" t="n">
        <x:f>SUM('محصول و کانال'!$U$9:$U$88,'محصول و کانال'!$V$9:$V$88,'محصول و کانال'!$W$9:$W$88,'محصول و کانال'!$X$9:$X$88,'محصول و کانال'!$Z$9:$Z$88)*'فرض‌ها و منابع'!E$29*'فرض‌ها و منابع'!E$32</x:f>
        <x:v>632400000</x:v>
      </x:c>
      <x:c r="F12" s="82" t="n">
        <x:f>SUM('محصول و کانال'!$U$9:$U$88,'محصول و کانال'!$V$9:$V$88,'محصول و کانال'!$W$9:$W$88,'محصول و کانال'!$X$9:$X$88,'محصول و کانال'!$Z$9:$Z$88)*'فرض‌ها و منابع'!F$29*'فرض‌ها و منابع'!F$32</x:f>
        <x:v>521730000.00000006</x:v>
      </x:c>
      <x:c r="G12" s="3"/>
      <x:c r="H12" s="152" t="n">
        <x:v>0.05</x:v>
      </x:c>
      <x:c r="I12" s="82" t="n">
        <x:f>SUM('محصول و کانال'!$Q$9:$Q$88)*(1+$H12)-SUM('محصول و کانال'!$S$9:$S$88)*(1+I$8)-SUM('محصول و کانال'!$U$9:$U$88,'محصول و کانال'!$V$9:$V$88,'محصول و کانال'!$W$9:$W$88,'محصول و کانال'!$X$9:$X$88,'محصول و کانال'!$Z$9:$Z$88)-SUM('محصول و کانال'!$Y$9:$Y$88)</x:f>
        <x:v>930000000</x:v>
      </x:c>
      <x:c r="J12" s="82" t="n">
        <x:f>SUM('محصول و کانال'!$Q$9:$Q$88)*(1+$H12)-SUM('محصول و کانال'!$S$9:$S$88)*(1+J$8)-SUM('محصول و کانال'!$U$9:$U$88,'محصول و کانال'!$V$9:$V$88,'محصول و کانال'!$W$9:$W$88,'محصول و کانال'!$X$9:$X$88,'محصول و کانال'!$Z$9:$Z$88)-SUM('محصول و کانال'!$Y$9:$Y$88)</x:f>
        <x:v>846300000</x:v>
      </x:c>
      <x:c r="K12" s="82" t="n">
        <x:f>SUM('محصول و کانال'!$Q$9:$Q$88)*(1+$H12)-SUM('محصول و کانال'!$S$9:$S$88)*(1+K$8)-SUM('محصول و کانال'!$U$9:$U$88,'محصول و کانال'!$V$9:$V$88,'محصول و کانال'!$W$9:$W$88,'محصول و کانال'!$X$9:$X$88,'محصول و کانال'!$Z$9:$Z$88)-SUM('محصول و کانال'!$Y$9:$Y$88)</x:f>
        <x:v>762600000</x:v>
      </x:c>
      <x:c r="L12" s="82" t="n">
        <x:f>SUM('محصول و کانال'!$Q$9:$Q$88)*(1+$H12)-SUM('محصول و کانال'!$S$9:$S$88)*(1+L$8)-SUM('محصول و کانال'!$U$9:$U$88,'محصول و کانال'!$V$9:$V$88,'محصول و کانال'!$W$9:$W$88,'محصول و کانال'!$X$9:$X$88,'محصول و کانال'!$Z$9:$Z$88)-SUM('محصول و کانال'!$Y$9:$Y$88)</x:f>
        <x:v>678900000</x:v>
      </x:c>
      <x:c r="M12" s="82" t="n">
        <x:f>SUM('محصول و کانال'!$Q$9:$Q$88)*(1+$H12)-SUM('محصول و کانال'!$S$9:$S$88)*(1+M$8)-SUM('محصول و کانال'!$U$9:$U$88,'محصول و کانال'!$V$9:$V$88,'محصول و کانال'!$W$9:$W$88,'محصول و کانال'!$X$9:$X$88,'محصول و کانال'!$Z$9:$Z$88)-SUM('محصول و کانال'!$Y$9:$Y$88)</x:f>
        <x:v>595199999.9999998</x:v>
      </x:c>
    </x:row>
    <x:row r="13" ht="15" hidden="0" customHeight="1">
      <x:c r="A13" s="232" t="str">
        <x:v>CM1</x:v>
      </x:c>
      <x:c r="B13" s="232" t="str">
        <x:v>تومان</x:v>
      </x:c>
      <x:c r="C13" s="143" t="n">
        <x:f>CHOOSE('فرض‌ها و منابع'!$B$5,D13,E13,F13)</x:f>
        <x:v>1041600000</x:v>
      </x:c>
      <x:c r="D13" s="82" t="n">
        <x:f>D10-D11-D12</x:f>
        <x:v>1631368800</x:v>
      </x:c>
      <x:c r="E13" s="82" t="n">
        <x:f>E10-E11-E12</x:f>
        <x:v>1041600000</x:v>
      </x:c>
      <x:c r="F13" s="82" t="n">
        <x:f>F10-F11-F12</x:f>
        <x:v>299618099.99999994</x:v>
      </x:c>
      <x:c r="G13" s="3"/>
      <x:c r="H13" s="152" t="n">
        <x:v>0.1</x:v>
      </x:c>
      <x:c r="I13" s="82" t="n">
        <x:f>SUM('محصول و کانال'!$Q$9:$Q$88)*(1+$H13)-SUM('محصول و کانال'!$S$9:$S$88)*(1+I$8)-SUM('محصول و کانال'!$U$9:$U$88,'محصول و کانال'!$V$9:$V$88,'محصول و کانال'!$W$9:$W$88,'محصول و کانال'!$X$9:$X$88,'محصول و کانال'!$Z$9:$Z$88)-SUM('محصول و کانال'!$Y$9:$Y$88)</x:f>
        <x:v>1097400000.0000005</x:v>
      </x:c>
      <x:c r="J13" s="82" t="n">
        <x:f>SUM('محصول و کانال'!$Q$9:$Q$88)*(1+$H13)-SUM('محصول و کانال'!$S$9:$S$88)*(1+J$8)-SUM('محصول و کانال'!$U$9:$U$88,'محصول و کانال'!$V$9:$V$88,'محصول و کانال'!$W$9:$W$88,'محصول و کانال'!$X$9:$X$88,'محصول و کانال'!$Z$9:$Z$88)-SUM('محصول و کانال'!$Y$9:$Y$88)</x:f>
        <x:v>1013700000.0000005</x:v>
      </x:c>
      <x:c r="K13" s="82" t="n">
        <x:f>SUM('محصول و کانال'!$Q$9:$Q$88)*(1+$H13)-SUM('محصول و کانال'!$S$9:$S$88)*(1+K$8)-SUM('محصول و کانال'!$U$9:$U$88,'محصول و کانال'!$V$9:$V$88,'محصول و کانال'!$W$9:$W$88,'محصول و کانال'!$X$9:$X$88,'محصول و کانال'!$Z$9:$Z$88)-SUM('محصول و کانال'!$Y$9:$Y$88)</x:f>
        <x:v>930000000.0000005</x:v>
      </x:c>
      <x:c r="L13" s="82" t="n">
        <x:f>SUM('محصول و کانال'!$Q$9:$Q$88)*(1+$H13)-SUM('محصول و کانال'!$S$9:$S$88)*(1+L$8)-SUM('محصول و کانال'!$U$9:$U$88,'محصول و کانال'!$V$9:$V$88,'محصول و کانال'!$W$9:$W$88,'محصول و کانال'!$X$9:$X$88,'محصول و کانال'!$Z$9:$Z$88)-SUM('محصول و کانال'!$Y$9:$Y$88)</x:f>
        <x:v>846300000.0000005</x:v>
      </x:c>
      <x:c r="M13" s="82" t="n">
        <x:f>SUM('محصول و کانال'!$Q$9:$Q$88)*(1+$H13)-SUM('محصول و کانال'!$S$9:$S$88)*(1+M$8)-SUM('محصول و کانال'!$U$9:$U$88,'محصول و کانال'!$V$9:$V$88,'محصول و کانال'!$W$9:$W$88,'محصول و کانال'!$X$9:$X$88,'محصول و کانال'!$Z$9:$Z$88)-SUM('محصول و کانال'!$Y$9:$Y$88)</x:f>
        <x:v>762600000.0000002</x:v>
      </x:c>
    </x:row>
    <x:row r="14" ht="15" hidden="0" customHeight="1">
      <x:c r="A14" s="232" t="str">
        <x:v>هزینه جذب</x:v>
      </x:c>
      <x:c r="B14" s="232" t="str">
        <x:v>تومان</x:v>
      </x:c>
      <x:c r="C14" s="143" t="n">
        <x:f>CHOOSE('فرض‌ها و منابع'!$B$5,D14,E14,F14)</x:f>
        <x:v>446400000</x:v>
      </x:c>
      <x:c r="D14" s="82" t="n">
        <x:f>SUM('محصول و کانال'!$Y$9:$Y$88)*'فرض‌ها و منابع'!D$29*'فرض‌ها و منابع'!D$33</x:f>
        <x:v>455328000</x:v>
      </x:c>
      <x:c r="E14" s="82" t="n">
        <x:f>SUM('محصول و کانال'!$Y$9:$Y$88)*'فرض‌ها و منابع'!E$29*'فرض‌ها و منابع'!E$33</x:f>
        <x:v>446400000</x:v>
      </x:c>
      <x:c r="F14" s="82" t="n">
        <x:f>SUM('محصول و کانال'!$Y$9:$Y$88)*'فرض‌ها و منابع'!F$29*'فرض‌ها و منابع'!F$33</x:f>
        <x:v>435240000</x:v>
      </x:c>
      <x:c r="G14" s="3"/>
      <x:c r="H14" s="3"/>
      <x:c r="I14" s="3"/>
      <x:c r="J14" s="3"/>
      <x:c r="K14" s="3"/>
      <x:c r="L14" s="3"/>
      <x:c r="M14" s="3"/>
    </x:row>
    <x:row r="15" ht="15" hidden="0" customHeight="1">
      <x:c r="A15" s="232" t="str">
        <x:v>CM2</x:v>
      </x:c>
      <x:c r="B15" s="232" t="str">
        <x:v>تومان</x:v>
      </x:c>
      <x:c r="C15" s="143" t="n">
        <x:f>CHOOSE('فرض‌ها و منابع'!$B$5,D15,E15,F15)</x:f>
        <x:v>595200000</x:v>
      </x:c>
      <x:c r="D15" s="82" t="n">
        <x:f>D13-D14</x:f>
        <x:v>1176040800</x:v>
      </x:c>
      <x:c r="E15" s="82" t="n">
        <x:f>E13-E14</x:f>
        <x:v>595200000</x:v>
      </x:c>
      <x:c r="F15" s="82" t="n">
        <x:f>F13-F14</x:f>
        <x:v>-135621900.00000006</x:v>
      </x:c>
      <x:c r="G15" s="3"/>
      <x:c r="H15" s="159" t="str">
        <x:v>سطرها تغییر قیمت و ستون‌ها تغییر COGS هستند. سایر عوامل ثابت مانده‌اند؛ این جدول جای سناریوی کامل را نمی‌گیرد.</x:v>
      </x:c>
      <x:c r="I15" s="160" t="str">
        <x:v>سطرها تغییر قیمت و ستون‌ها تغییر COGS هستند. سایر عوامل ثابت مانده‌اند؛ این جدول جای سناریوی کامل را نمی‌گیرد.</x:v>
      </x:c>
      <x:c r="J15" s="160" t="str">
        <x:v>سطرها تغییر قیمت و ستون‌ها تغییر COGS هستند. سایر عوامل ثابت مانده‌اند؛ این جدول جای سناریوی کامل را نمی‌گیرد.</x:v>
      </x:c>
      <x:c r="K15" s="160" t="str">
        <x:v>سطرها تغییر قیمت و ستون‌ها تغییر COGS هستند. سایر عوامل ثابت مانده‌اند؛ این جدول جای سناریوی کامل را نمی‌گیرد.</x:v>
      </x:c>
      <x:c r="L15" s="160" t="str">
        <x:v>سطرها تغییر قیمت و ستون‌ها تغییر COGS هستند. سایر عوامل ثابت مانده‌اند؛ این جدول جای سناریوی کامل را نمی‌گیرد.</x:v>
      </x:c>
      <x:c r="M15" s="161" t="str">
        <x:v>سطرها تغییر قیمت و ستون‌ها تغییر COGS هستند. سایر عوامل ثابت مانده‌اند؛ این جدول جای سناریوی کامل را نمی‌گیرد.</x:v>
      </x:c>
    </x:row>
    <x:row r="16" ht="15" hidden="0" customHeight="1">
      <x:c r="A16" s="232" t="str">
        <x:v>نسبت CM2</x:v>
      </x:c>
      <x:c r="B16" s="232" t="str">
        <x:v>درصد</x:v>
      </x:c>
      <x:c r="C16" s="48" t="n">
        <x:f>CHOOSE('فرض‌ها و منابع'!$B$5,D16,E16,F16)</x:f>
        <x:v>0.17777777777777778</x:v>
      </x:c>
      <x:c r="D16" s="83" t="n">
        <x:f>IF(D10=0,"n.a.",D15/D10)</x:f>
        <x:v>0.27602284037927605</x:v>
      </x:c>
      <x:c r="E16" s="83" t="n">
        <x:f>IF(E10=0,"n.a.",E15/E10)</x:f>
        <x:v>0.17777777777777778</x:v>
      </x:c>
      <x:c r="F16" s="83" t="n">
        <x:f>IF(F10=0,"n.a.",F15/F10)</x:f>
        <x:v>-0.059872642845705724</x:v>
      </x:c>
      <x:c r="G16" s="3"/>
      <x:c r="H16" s="162" t="str">
        <x:v>سطرها تغییر قیمت و ستون‌ها تغییر COGS هستند. سایر عوامل ثابت مانده‌اند؛ این جدول جای سناریوی کامل را نمی‌گیرد.</x:v>
      </x:c>
      <x:c r="I16" s="163" t="str">
        <x:v>سطرها تغییر قیمت و ستون‌ها تغییر COGS هستند. سایر عوامل ثابت مانده‌اند؛ این جدول جای سناریوی کامل را نمی‌گیرد.</x:v>
      </x:c>
      <x:c r="J16" s="163" t="str">
        <x:v>سطرها تغییر قیمت و ستون‌ها تغییر COGS هستند. سایر عوامل ثابت مانده‌اند؛ این جدول جای سناریوی کامل را نمی‌گیرد.</x:v>
      </x:c>
      <x:c r="K16" s="163" t="str">
        <x:v>سطرها تغییر قیمت و ستون‌ها تغییر COGS هستند. سایر عوامل ثابت مانده‌اند؛ این جدول جای سناریوی کامل را نمی‌گیرد.</x:v>
      </x:c>
      <x:c r="L16" s="163" t="str">
        <x:v>سطرها تغییر قیمت و ستون‌ها تغییر COGS هستند. سایر عوامل ثابت مانده‌اند؛ این جدول جای سناریوی کامل را نمی‌گیرد.</x:v>
      </x:c>
      <x:c r="M16" s="164" t="str">
        <x:v>سطرها تغییر قیمت و ستون‌ها تغییر COGS هستند. سایر عوامل ثابت مانده‌اند؛ این جدول جای سناریوی کامل را نمی‌گیرد.</x:v>
      </x:c>
    </x:row>
    <x:row r="17" ht="15" hidden="0" customHeight="1">
      <x:c r="A17" s="232" t="str">
        <x:v>هزینه ثابت دوره</x:v>
      </x:c>
      <x:c r="B17" s="232" t="str">
        <x:v>تومان</x:v>
      </x:c>
      <x:c r="C17" s="143" t="n">
        <x:f>CHOOSE('فرض‌ها و منابع'!$B$5,D17,E17,F17)</x:f>
        <x:v>384000000</x:v>
      </x:c>
      <x:c r="D17" s="82" t="n">
        <x:f>'فرض‌ها و منابع'!$B$11*'فرض‌ها و منابع'!$B$24*'فرض‌ها و منابع'!D$35</x:f>
        <x:v>384000000</x:v>
      </x:c>
      <x:c r="E17" s="82" t="n">
        <x:f>'فرض‌ها و منابع'!$B$11*'فرض‌ها و منابع'!$B$24*'فرض‌ها و منابع'!E$35</x:f>
        <x:v>384000000</x:v>
      </x:c>
      <x:c r="F17" s="82" t="n">
        <x:f>'فرض‌ها و منابع'!$B$11*'فرض‌ها و منابع'!$B$24*'فرض‌ها و منابع'!F$35</x:f>
        <x:v>403200000</x:v>
      </x:c>
      <x:c r="G17" s="3"/>
      <x:c r="H17" s="212"/>
      <x:c r="I17" s="212"/>
      <x:c r="J17" s="212"/>
      <x:c r="K17" s="212"/>
      <x:c r="L17" s="212"/>
      <x:c r="M17" s="212"/>
    </x:row>
    <x:row r="18" ht="15" hidden="0" customHeight="1">
      <x:c r="A18" s="232" t="str">
        <x:v>نتیجه عملیاتی</x:v>
      </x:c>
      <x:c r="B18" s="232" t="str">
        <x:v>تومان</x:v>
      </x:c>
      <x:c r="C18" s="143" t="n">
        <x:f>CHOOSE('فرض‌ها و منابع'!$B$5,D18,E18,F18)</x:f>
        <x:v>211200000</x:v>
      </x:c>
      <x:c r="D18" s="82" t="n">
        <x:f>D15-D17</x:f>
        <x:v>792040800</x:v>
      </x:c>
      <x:c r="E18" s="82" t="n">
        <x:f>E15-E17</x:f>
        <x:v>211200000</x:v>
      </x:c>
      <x:c r="F18" s="82" t="n">
        <x:f>F15-F17</x:f>
        <x:v>-538821900</x:v>
      </x:c>
      <x:c r="G18" s="3"/>
      <x:c r="H18" s="265" t="str">
        <x:v>آزمون فشار معکوس</x:v>
      </x:c>
      <x:c r="I18" s="266" t="str">
        <x:v>آزمون فشار معکوس</x:v>
      </x:c>
      <x:c r="J18" s="266" t="str">
        <x:v>آزمون فشار معکوس</x:v>
      </x:c>
      <x:c r="K18" s="266" t="str">
        <x:v>آزمون فشار معکوس</x:v>
      </x:c>
      <x:c r="L18" s="266" t="str">
        <x:v>آزمون فشار معکوس</x:v>
      </x:c>
      <x:c r="M18" s="267" t="str">
        <x:v>آزمون فشار معکوس</x:v>
      </x:c>
    </x:row>
    <x:row r="19" ht="15" hidden="0" customHeight="1">
      <x:c r="A19" s="232" t="str">
        <x:v>نقطه سربه‌سر</x:v>
      </x:c>
      <x:c r="B19" s="232" t="str">
        <x:v>سفارش</x:v>
      </x:c>
      <x:c r="C19" s="143" t="n">
        <x:f>CHOOSE('فرض‌ها و منابع'!$B$5,D19,E19,F19)</x:f>
        <x:v>2181.935483870968</x:v>
      </x:c>
      <x:c r="D19" s="82" t="n">
        <x:f>IF(OR(D15&lt;=0,SUM('محصول و کانال'!$K$9:$K$88)=0),"n.a.",D17/(D15/(SUM('محصول و کانال'!$K$9:$K$88)*'فرض‌ها و منابع'!D$29)))</x:f>
        <x:v>1325.1458622864104</x:v>
      </x:c>
      <x:c r="E19" s="82" t="n">
        <x:f>IF(OR(E15&lt;=0,SUM('محصول و کانال'!$K$9:$K$88)=0),"n.a.",E17/(E15/(SUM('محصول و کانال'!$K$9:$K$88)*'فرض‌ها و منابع'!E$29)))</x:f>
        <x:v>2181.935483870968</x:v>
      </x:c>
      <x:c r="F19" s="82" t="str">
        <x:f>IF(OR(F15&lt;=0,SUM('محصول و کانال'!$K$9:$K$88)=0),"n.a.",F17/(F15/(SUM('محصول و کانال'!$K$9:$K$88)*'فرض‌ها و منابع'!F$29)))</x:f>
        <x:v>n.a.</x:v>
      </x:c>
      <x:c r="G19" s="3"/>
      <x:c r="H19" s="41" t="str">
        <x:v>محرک</x:v>
      </x:c>
      <x:c r="I19" s="41" t="str">
        <x:v>ورودی فشار</x:v>
      </x:c>
      <x:c r="J19" s="212"/>
      <x:c r="K19" s="41" t="str">
        <x:v>خروجی</x:v>
      </x:c>
      <x:c r="L19" s="41" t="str">
        <x:v>مقدار</x:v>
      </x:c>
      <x:c r="M19" s="41" t="str">
        <x:v>وضعیت</x:v>
      </x:c>
    </x:row>
    <x:row r="20" ht="15" hidden="0" customHeight="1">
      <x:c r="A20" s="232" t="str">
        <x:v>وصول برآوردی</x:v>
      </x:c>
      <x:c r="B20" s="232" t="str">
        <x:v>تومان</x:v>
      </x:c>
      <x:c r="C20" s="143" t="n">
        <x:f>CHOOSE('فرض‌ها و منابع'!$B$5,D20,E20,F20)</x:f>
        <x:v>3236400000</x:v>
      </x:c>
      <x:c r="D20" s="82" t="n">
        <x:f>MAX(0,D10-MIN(D10,D10/'فرض‌ها و منابع'!$B$24*(1-'فرض‌ها و منابع'!$B$12)*MAX(0,('فرض‌ها و منابع'!$B$17+'فرض‌ها و منابع'!D$36)/30)))</x:f>
        <x:v>4165983360</x:v>
      </x:c>
      <x:c r="E20" s="82" t="n">
        <x:f>MAX(0,E10-MIN(E10,E10/'فرض‌ها و منابع'!$B$24*(1-'فرض‌ها و منابع'!$B$12)*MAX(0,('فرض‌ها و منابع'!$B$17+'فرض‌ها و منابع'!E$36)/30)))</x:f>
        <x:v>3236400000</x:v>
      </x:c>
      <x:c r="F20" s="82" t="n">
        <x:f>MAX(0,F10-MIN(F10,F10/'فرض‌ها و منابع'!$B$24*(1-'فرض‌ها و منابع'!$B$12)*MAX(0,('فرض‌ها و منابع'!$B$17+'فرض‌ها و منابع'!F$36)/30)))</x:f>
        <x:v>2114161560</x:v>
      </x:c>
      <x:c r="G20" s="3"/>
      <x:c r="H20" s="232" t="str">
        <x:v>افت حجم</x:v>
      </x:c>
      <x:c r="I20" s="263" t="n">
        <x:v>0.25</x:v>
      </x:c>
      <x:c r="J20" s="212"/>
      <x:c r="K20" s="232" t="str">
        <x:v>CM2 پس از فشار</x:v>
      </x:c>
      <x:c r="L20" s="268" t="n">
        <x:f>SUM('محصول و کانال'!$Q$9:$Q$88)*(1-$I$20)*(1-$I$21)*(1-$I$24)-SUM('محصول و کانال'!$S$9:$S$88)*(1-$I$20)*(1+$I$22)-SUM('محصول و کانال'!$U$9:$U$88,'محصول و کانال'!$V$9:$V$88,'محصول و کانال'!$W$9:$W$88,'محصول و کانال'!$X$9:$X$88,'محصول و کانال'!$Z$9:$Z$88)*(1-$I$20)-SUM('محصول و کانال'!$Y$9:$Y$88)*(1-$I$20)*(1+$I$23)</x:f>
        <x:v>-88191900</x:v>
      </x:c>
      <x:c r="M20" s="232" t="str"/>
    </x:row>
    <x:row r="21" ht="15" hidden="0" customHeight="1">
      <x:c r="A21" s="232" t="str">
        <x:v>مانده نقد برآوردی</x:v>
      </x:c>
      <x:c r="B21" s="232" t="str">
        <x:v>تومان</x:v>
      </x:c>
      <x:c r="C21" s="143" t="n">
        <x:f>CHOOSE('فرض‌ها و منابع'!$B$5,D21,E21,F21)</x:f>
        <x:v>399600000</x:v>
      </x:c>
      <x:c r="D21" s="82" t="n">
        <x:f>'فرض‌ها و منابع'!$B$10+D20-D11-D12-D14-D17</x:f>
        <x:v>997359360</x:v>
      </x:c>
      <x:c r="E21" s="82" t="n">
        <x:f>'فرض‌ها و منابع'!$B$10+E20-E11-E12-E14-E17</x:f>
        <x:v>399600000</x:v>
      </x:c>
      <x:c r="F21" s="82" t="n">
        <x:f>'فرض‌ها و منابع'!$B$10+F20-F11-F12-F14-F17</x:f>
        <x:v>-389833440.00000006</x:v>
      </x:c>
      <x:c r="G21" s="3"/>
      <x:c r="H21" s="232" t="str">
        <x:v>افت قیمت</x:v>
      </x:c>
      <x:c r="I21" s="263" t="n">
        <x:v>0.07</x:v>
      </x:c>
      <x:c r="J21" s="212"/>
      <x:c r="K21" s="232" t="str">
        <x:v>نسبت CM2</x:v>
      </x:c>
      <x:c r="L21" s="269" t="n">
        <x:f>IF(SUM('محصول و کانال'!$Q$9:$Q$88)=0,"n.a.",L20/(SUM('محصول و کانال'!$Q$9:$Q$88)*(1-$I$20)*(1-$I$21)*(1-$I$24)))</x:f>
        <x:v>-0.03893384571801599</x:v>
      </x:c>
      <x:c r="M21" s="232" t="str"/>
    </x:row>
    <x:row r="22" ht="15" hidden="0" customHeight="1">
      <x:c r="A22" s="232" t="str">
        <x:v>وضعیت</x:v>
      </x:c>
      <x:c r="B22" s="232" t="str">
        <x:v>گیت</x:v>
      </x:c>
      <x:c r="C22" s="43" t="str">
        <x:f>CHOOSE('فرض‌ها و منابع'!$B$5,D22,E22,F22)</x:f>
        <x:v>سبز</x:v>
      </x:c>
      <x:c r="D22" s="16" t="str">
        <x:f>IF(OR(D15&lt;=0,D21&lt;'فرض‌ها و منابع'!$B$20),"قرمز",IF(OR(D16&lt;'فرض‌ها و منابع'!$B$13,D18&lt;0),"زرد","سبز"))</x:f>
        <x:v>سبز</x:v>
      </x:c>
      <x:c r="E22" s="16" t="str">
        <x:f>IF(OR(E15&lt;=0,E21&lt;'فرض‌ها و منابع'!$B$20),"قرمز",IF(OR(E16&lt;'فرض‌ها و منابع'!$B$13,E18&lt;0),"زرد","سبز"))</x:f>
        <x:v>سبز</x:v>
      </x:c>
      <x:c r="F22" s="16" t="str">
        <x:f>IF(OR(F15&lt;=0,F21&lt;'فرض‌ها و منابع'!$B$20),"قرمز",IF(OR(F16&lt;'فرض‌ها و منابع'!$B$13,F18&lt;0),"زرد","سبز"))</x:f>
        <x:v>قرمز</x:v>
      </x:c>
      <x:c r="G22" s="3"/>
      <x:c r="H22" s="232" t="str">
        <x:v>افزایش COGS</x:v>
      </x:c>
      <x:c r="I22" s="263" t="n">
        <x:v>0.15</x:v>
      </x:c>
      <x:c r="J22" s="212"/>
      <x:c r="K22" s="232" t="str">
        <x:v>نتیجه عملیاتی</x:v>
      </x:c>
      <x:c r="L22" s="268" t="n">
        <x:f>L20-'فرض‌ها و منابع'!$B$11*'فرض‌ها و منابع'!$B$24</x:f>
        <x:v>-472191900</x:v>
      </x:c>
      <x:c r="M22" s="232" t="str"/>
    </x:row>
    <x:row r="23" ht="15" hidden="0" customHeight="1">
      <x:c r="A23" s="3"/>
      <x:c r="B23" s="3"/>
      <x:c r="C23" s="3"/>
      <x:c r="D23" s="3"/>
      <x:c r="E23" s="3"/>
      <x:c r="F23" s="3"/>
      <x:c r="G23" s="3"/>
      <x:c r="H23" s="232" t="str">
        <x:v>افزایش CAC</x:v>
      </x:c>
      <x:c r="I23" s="263" t="n">
        <x:v>0.3</x:v>
      </x:c>
      <x:c r="J23" s="212"/>
      <x:c r="K23" s="232" t="str">
        <x:v>مانده نقد برآوردی</x:v>
      </x:c>
      <x:c r="L23" s="268" t="n">
        <x:f>'فرض‌ها و منابع'!$B$10+MAX(0,SUM('محصول و کانال'!$Q$9:$Q$88)*(1-$I$20)*(1-$I$21)*(1-$I$24)-MIN(SUM('محصول و کانال'!$Q$9:$Q$88),SUM('محصول و کانال'!$Q$9:$Q$88)/'فرض‌ها و منابع'!$B$24*(1-'فرض‌ها و منابع'!$B$12)*MAX(0,('فرض‌ها و منابع'!$B$17+$I$25)/30)))-SUM('محصول و کانال'!$S$9:$S$88)*(1-$I$20)*(1+$I$22)-SUM('محصول و کانال'!$U$9:$U$88,'محصول و کانال'!$V$9:$V$88,'محصول و کانال'!$W$9:$W$88,'محصول و کانال'!$X$9:$X$88,'محصول و کانال'!$Z$9:$Z$88)*(1-$I$20)-SUM('محصول و کانال'!$Y$9:$Y$88)*(1-$I$20)*(1+$I$23)-'فرض‌ها و منابع'!$B$11*'فرض‌ها و منابع'!$B$24</x:f>
        <x:v>-395391900</x:v>
      </x:c>
      <x:c r="M23" s="232" t="str"/>
    </x:row>
    <x:row r="24" ht="24" hidden="0" customHeight="1">
      <x:c r="A24" s="3"/>
      <x:c r="B24" s="3"/>
      <x:c r="C24" s="3"/>
      <x:c r="D24" s="3"/>
      <x:c r="E24" s="3"/>
      <x:c r="F24" s="3"/>
      <x:c r="G24" s="3"/>
      <x:c r="H24" s="232" t="str">
        <x:v>افزایش نرخ مرجوعی</x:v>
      </x:c>
      <x:c r="I24" s="263" t="n">
        <x:v>0.03</x:v>
      </x:c>
      <x:c r="J24" s="212"/>
      <x:c r="K24" s="232" t="str">
        <x:v>گیت</x:v>
      </x:c>
      <x:c r="L24" s="232" t="str">
        <x:f>IF(OR(L20&lt;=0,L23&lt;'فرض‌ها و منابع'!$B$20),"قرمز",IF(OR(L21&lt;'فرض‌ها و منابع'!$B$13,L22&lt;0),"زرد","سبز"))</x:f>
        <x:v>قرمز</x:v>
      </x:c>
      <x:c r="M24" s="232" t="str">
        <x:v>محرک‌های مرز توقف را ثبت کنید</x:v>
      </x:c>
    </x:row>
    <x:row r="25" ht="15" hidden="0" customHeight="1">
      <x:c r="A25" s="3"/>
      <x:c r="B25" s="3"/>
      <x:c r="C25" s="3"/>
      <x:c r="D25" s="3"/>
      <x:c r="E25" s="3"/>
      <x:c r="F25" s="3"/>
      <x:c r="G25" s="3"/>
      <x:c r="H25" s="232" t="str">
        <x:v>تأخیر وصول</x:v>
      </x:c>
      <x:c r="I25" s="270" t="n">
        <x:v>30</x:v>
      </x:c>
      <x:c r="J25" s="212"/>
      <x:c r="K25" s="212"/>
      <x:c r="L25" s="212"/>
      <x:c r="M25" s="212"/>
    </x:row>
    <x:row r="26" ht="15" hidden="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15" hidden="0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15" hidden="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15" hidden="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15" hidden="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hidden="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15" hidden="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15" hidden="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15" hidden="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15" hidden="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15" hidden="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15" hidden="0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15" hidden="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15" hidden="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</x:sheetData>
  <x:mergeCells>
    <x:mergeCell ref="A1:M2"/>
    <x:mergeCell ref="A3:M3"/>
    <x:mergeCell ref="A7:F7"/>
    <x:mergeCell ref="H7:M7"/>
    <x:mergeCell ref="H15:M16"/>
    <x:mergeCell ref="H18:M18"/>
  </x:mergeCells>
  <x:conditionalFormatting sqref="F5:F5">
    <x:cfRule type="containsText" dxfId="344" priority="1" operator="containsText" text="قرمز"/>
    <x:cfRule type="containsText" dxfId="345" priority="2" operator="containsText" text="بحرانی"/>
    <x:cfRule type="containsText" dxfId="346" priority="3" operator="containsText" text="رد"/>
    <x:cfRule type="containsText" dxfId="347" priority="4" operator="containsText" text="متوقف"/>
    <x:cfRule type="containsText" dxfId="348" priority="5" operator="containsText" text="عقب‌افتاده"/>
    <x:cfRule type="containsText" dxfId="349" priority="6" operator="containsText" text="نامعتبر"/>
    <x:cfRule type="containsText" dxfId="350" priority="7" operator="containsText" text="زرد"/>
    <x:cfRule type="containsText" dxfId="351" priority="8" operator="containsText" text="باز"/>
    <x:cfRule type="containsText" dxfId="352" priority="9" operator="containsText" text="نیازمند اصلاح"/>
    <x:cfRule type="containsText" dxfId="353" priority="10" operator="containsText" text="در انتظار"/>
    <x:cfRule type="containsText" dxfId="354" priority="11" operator="containsText" text="نمونه آموزشی"/>
    <x:cfRule type="containsText" dxfId="355" priority="12" operator="containsText" text="سبز"/>
    <x:cfRule type="containsText" dxfId="356" priority="13" operator="containsText" text="بسته"/>
    <x:cfRule type="containsText" dxfId="357" priority="14" operator="containsText" text="تأیید"/>
    <x:cfRule type="containsText" dxfId="358" priority="15" operator="containsText" text="آزادشده"/>
    <x:cfRule type="containsText" dxfId="359" priority="16" operator="containsText" text="انجام‌شده"/>
    <x:cfRule type="containsText" dxfId="360" priority="17" operator="containsText" text="خاکستری"/>
    <x:cfRule type="containsText" dxfId="361" priority="18" operator="containsText" text="نابالغ"/>
    <x:cfRule type="containsText" dxfId="362" priority="19" operator="containsText" text="پنجره کامل نشده"/>
    <x:cfRule type="containsText" dxfId="363" priority="20" operator="containsText" text="n.a."/>
  </x:conditionalFormatting>
  <x:conditionalFormatting sqref="C22:F22">
    <x:cfRule type="containsText" dxfId="364" priority="21" operator="containsText" text="قرمز"/>
    <x:cfRule type="containsText" dxfId="365" priority="22" operator="containsText" text="بحرانی"/>
    <x:cfRule type="containsText" dxfId="366" priority="23" operator="containsText" text="رد"/>
    <x:cfRule type="containsText" dxfId="367" priority="24" operator="containsText" text="متوقف"/>
    <x:cfRule type="containsText" dxfId="368" priority="25" operator="containsText" text="عقب‌افتاده"/>
    <x:cfRule type="containsText" dxfId="369" priority="26" operator="containsText" text="نامعتبر"/>
    <x:cfRule type="containsText" dxfId="370" priority="27" operator="containsText" text="زرد"/>
    <x:cfRule type="containsText" dxfId="371" priority="28" operator="containsText" text="باز"/>
    <x:cfRule type="containsText" dxfId="372" priority="29" operator="containsText" text="نیازمند اصلاح"/>
    <x:cfRule type="containsText" dxfId="373" priority="30" operator="containsText" text="در انتظار"/>
    <x:cfRule type="containsText" dxfId="374" priority="31" operator="containsText" text="نمونه آموزشی"/>
    <x:cfRule type="containsText" dxfId="375" priority="32" operator="containsText" text="سبز"/>
    <x:cfRule type="containsText" dxfId="376" priority="33" operator="containsText" text="بسته"/>
    <x:cfRule type="containsText" dxfId="377" priority="34" operator="containsText" text="تأیید"/>
    <x:cfRule type="containsText" dxfId="378" priority="35" operator="containsText" text="آزادشده"/>
    <x:cfRule type="containsText" dxfId="379" priority="36" operator="containsText" text="انجام‌شده"/>
    <x:cfRule type="containsText" dxfId="380" priority="37" operator="containsText" text="خاکستری"/>
    <x:cfRule type="containsText" dxfId="381" priority="38" operator="containsText" text="نابالغ"/>
    <x:cfRule type="containsText" dxfId="382" priority="39" operator="containsText" text="پنجره کامل نشده"/>
    <x:cfRule type="containsText" dxfId="383" priority="40" operator="containsText" text="n.a."/>
  </x:conditionalFormatting>
  <x:conditionalFormatting sqref="I9:M13">
    <x:cfRule type="colorScale" priority="41">
      <x:colorScale>
        <x:cfvo type="min"/>
        <x:cfvo type="percentile" val="50"/>
        <x:cfvo type="max"/>
        <x:color rgb="FFFDECEC"/>
        <x:color rgb="FFFFF4CC"/>
        <x:color rgb="FFEAF6F0"/>
      </x:colorScale>
    </x:cfRule>
  </x:conditionalFormatting>
  <x:conditionalFormatting sqref="L24:L24">
    <x:cfRule type="containsText" dxfId="384" priority="42" operator="containsText" text="قرمز"/>
    <x:cfRule type="containsText" dxfId="385" priority="43" operator="containsText" text="بحرانی"/>
    <x:cfRule type="containsText" dxfId="386" priority="44" operator="containsText" text="رد"/>
    <x:cfRule type="containsText" dxfId="387" priority="45" operator="containsText" text="متوقف"/>
    <x:cfRule type="containsText" dxfId="388" priority="46" operator="containsText" text="عقب‌افتاده"/>
    <x:cfRule type="containsText" dxfId="389" priority="47" operator="containsText" text="نامعتبر"/>
    <x:cfRule type="containsText" dxfId="390" priority="48" operator="containsText" text="زرد"/>
    <x:cfRule type="containsText" dxfId="391" priority="49" operator="containsText" text="باز"/>
    <x:cfRule type="containsText" dxfId="392" priority="50" operator="containsText" text="نیازمند اصلاح"/>
    <x:cfRule type="containsText" dxfId="393" priority="51" operator="containsText" text="در انتظار"/>
    <x:cfRule type="containsText" dxfId="394" priority="52" operator="containsText" text="نمونه آموزشی"/>
    <x:cfRule type="containsText" dxfId="395" priority="53" operator="containsText" text="سبز"/>
    <x:cfRule type="containsText" dxfId="396" priority="54" operator="containsText" text="بسته"/>
    <x:cfRule type="containsText" dxfId="397" priority="55" operator="containsText" text="تأیید"/>
    <x:cfRule type="containsText" dxfId="398" priority="56" operator="containsText" text="آزادشده"/>
    <x:cfRule type="containsText" dxfId="399" priority="57" operator="containsText" text="انجام‌شده"/>
    <x:cfRule type="containsText" dxfId="400" priority="58" operator="containsText" text="خاکستری"/>
    <x:cfRule type="containsText" dxfId="401" priority="59" operator="containsText" text="نابالغ"/>
    <x:cfRule type="containsText" dxfId="402" priority="60" operator="containsText" text="پنجره کامل نشده"/>
    <x:cfRule type="containsText" dxfId="403" priority="61" operator="containsText" text="n.a.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E7ECE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9" hidden="0" customWidth="1"/>
    <x:col min="2" max="2" width="13" hidden="0" customWidth="1"/>
    <x:col min="3" max="3" width="23" hidden="0" customWidth="1"/>
    <x:col min="4" max="4" width="18" hidden="0" customWidth="1"/>
    <x:col min="5" max="5" width="21" hidden="0" customWidth="1"/>
    <x:col min="6" max="6" width="34" hidden="0" customWidth="1"/>
    <x:col min="7" max="7" width="28" hidden="0" customWidth="1"/>
    <x:col min="8" max="8" width="28" hidden="0" customWidth="1"/>
    <x:col min="9" max="9" width="16" hidden="0" customWidth="1"/>
    <x:col min="10" max="10" width="16" hidden="0" customWidth="1"/>
    <x:col min="11" max="11" width="15" hidden="0" customWidth="1"/>
    <x:col min="12" max="12" width="16" hidden="0" customWidth="1"/>
    <x:col min="13" max="13" width="24" hidden="0" customWidth="1"/>
  </x:cols>
  <x:sheetData>
    <x:row r="1" ht="34" customHeight="1">
      <x:c r="A1" s="7" t="str">
        <x:v>T07 | فرهنگ شاخص و رویداد</x:v>
      </x:c>
      <x:c r="B1" s="7" t="str">
        <x:v>T07 | فرهنگ شاخص و رویداد</x:v>
      </x:c>
      <x:c r="C1" s="7" t="str">
        <x:v>T07 | فرهنگ شاخص و رویداد</x:v>
      </x:c>
      <x:c r="D1" s="7" t="str">
        <x:v>T07 | فرهنگ شاخص و رویداد</x:v>
      </x:c>
      <x:c r="E1" s="7" t="str">
        <x:v>T07 | فرهنگ شاخص و رویداد</x:v>
      </x:c>
      <x:c r="F1" s="7" t="str">
        <x:v>T07 | فرهنگ شاخص و رویداد</x:v>
      </x:c>
      <x:c r="G1" s="7" t="str">
        <x:v>T07 | فرهنگ شاخص و رویداد</x:v>
      </x:c>
      <x:c r="H1" s="7" t="str">
        <x:v>T07 | فرهنگ شاخص و رویداد</x:v>
      </x:c>
      <x:c r="I1" s="7" t="str">
        <x:v>T07 | فرهنگ شاخص و رویداد</x:v>
      </x:c>
      <x:c r="J1" s="7" t="str">
        <x:v>T07 | فرهنگ شاخص و رویداد</x:v>
      </x:c>
      <x:c r="K1" s="7" t="str">
        <x:v>T07 | فرهنگ شاخص و رویداد</x:v>
      </x:c>
      <x:c r="L1" s="7" t="str">
        <x:v>T07 | فرهنگ شاخص و رویداد</x:v>
      </x:c>
      <x:c r="M1" s="7" t="str">
        <x:v>T07 | فرهنگ شاخص و رویداد</x:v>
      </x:c>
    </x:row>
    <x:row r="2" ht="34" customHeight="1">
      <x:c r="A2" s="7" t="str">
        <x:v>T07 | فرهنگ شاخص و رویداد</x:v>
      </x:c>
      <x:c r="B2" s="7" t="str">
        <x:v>T07 | فرهنگ شاخص و رویداد</x:v>
      </x:c>
      <x:c r="C2" s="7" t="str">
        <x:v>T07 | فرهنگ شاخص و رویداد</x:v>
      </x:c>
      <x:c r="D2" s="7" t="str">
        <x:v>T07 | فرهنگ شاخص و رویداد</x:v>
      </x:c>
      <x:c r="E2" s="7" t="str">
        <x:v>T07 | فرهنگ شاخص و رویداد</x:v>
      </x:c>
      <x:c r="F2" s="7" t="str">
        <x:v>T07 | فرهنگ شاخص و رویداد</x:v>
      </x:c>
      <x:c r="G2" s="7" t="str">
        <x:v>T07 | فرهنگ شاخص و رویداد</x:v>
      </x:c>
      <x:c r="H2" s="7" t="str">
        <x:v>T07 | فرهنگ شاخص و رویداد</x:v>
      </x:c>
      <x:c r="I2" s="7" t="str">
        <x:v>T07 | فرهنگ شاخص و رویداد</x:v>
      </x:c>
      <x:c r="J2" s="7" t="str">
        <x:v>T07 | فرهنگ شاخص و رویداد</x:v>
      </x:c>
      <x:c r="K2" s="7" t="str">
        <x:v>T07 | فرهنگ شاخص و رویداد</x:v>
      </x:c>
      <x:c r="L2" s="7" t="str">
        <x:v>T07 | فرهنگ شاخص و رویداد</x:v>
      </x:c>
      <x:c r="M2" s="7" t="str">
        <x:v>T07 | فرهنگ شاخص و رویداد</x:v>
      </x:c>
    </x:row>
    <x:row r="3" ht="15" hidden="0" customHeight="1">
      <x:c r="A3" s="89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B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C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D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E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F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G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H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I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J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K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L3" s="90" t="str">
        <x:v>نام شاخص به‌تنهایی کافی نیست. مخرج، منبع، دوره، مالک و زمان بلوغ داده باید ثابت بماند تا مقایسه ماه‌ها و کانال‌ها معتبر باشد.</x:v>
      </x:c>
      <x:c r="M3" s="91" t="str">
        <x:v>نام شاخص به‌تنهایی کافی نیست. مخرج، منبع، دوره، مالک و زمان بلوغ داده باید ثابت بماند تا مقایسه ماه‌ها و کانال‌ها معتبر باشد.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15" hidden="0" customHeight="1">
      <x:c r="A5" s="146" t="str">
        <x:v>رویداد باز</x:v>
      </x:c>
      <x:c r="B5" s="147" t="n">
        <x:f>COUNTIFS($A$35:$A$70,"?*",$L$35:$L$70,"&lt;&gt;بسته")</x:f>
        <x:v>0</x:v>
      </x:c>
      <x:c r="C5" s="147" t="str"/>
      <x:c r="D5" s="147" t="str">
        <x:v>آلودگی داده</x:v>
      </x:c>
      <x:c r="E5" s="147" t="n">
        <x:f>COUNTIFS($I$35:$I$70,"بله")+COUNTIFS($I$35:$I$70,"در بررسی")</x:f>
        <x:v>1</x:v>
      </x:c>
      <x:c r="F5" s="147" t="str"/>
      <x:c r="G5" s="147" t="str">
        <x:v>کانال مشکوک</x:v>
      </x:c>
      <x:c r="H5" s="147" t="n">
        <x:f>COUNTIFS($J$35:$J$70,"بله")+COUNTIFS($J$35:$J$70,"در بررسی")</x:f>
        <x:v>1</x:v>
      </x:c>
      <x:c r="I5" s="147" t="str"/>
      <x:c r="J5" s="3"/>
      <x:c r="K5" s="3"/>
      <x:c r="L5" s="3"/>
      <x:c r="M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15" hidden="0" customHeight="1">
      <x:c r="A7" s="26" t="str">
        <x:v>تعریف شاخص‌ها</x:v>
      </x:c>
      <x:c r="B7" s="27" t="str">
        <x:v>تعریف شاخص‌ها</x:v>
      </x:c>
      <x:c r="C7" s="27" t="str">
        <x:v>تعریف شاخص‌ها</x:v>
      </x:c>
      <x:c r="D7" s="27" t="str">
        <x:v>تعریف شاخص‌ها</x:v>
      </x:c>
      <x:c r="E7" s="27" t="str">
        <x:v>تعریف شاخص‌ها</x:v>
      </x:c>
      <x:c r="F7" s="27" t="str">
        <x:v>تعریف شاخص‌ها</x:v>
      </x:c>
      <x:c r="G7" s="27" t="str">
        <x:v>تعریف شاخص‌ها</x:v>
      </x:c>
      <x:c r="H7" s="27" t="str">
        <x:v>تعریف شاخص‌ها</x:v>
      </x:c>
      <x:c r="I7" s="27" t="str">
        <x:v>تعریف شاخص‌ها</x:v>
      </x:c>
      <x:c r="J7" s="27" t="str">
        <x:v>تعریف شاخص‌ها</x:v>
      </x:c>
      <x:c r="K7" s="27" t="str">
        <x:v>تعریف شاخص‌ها</x:v>
      </x:c>
      <x:c r="L7" s="27" t="str">
        <x:v>تعریف شاخص‌ها</x:v>
      </x:c>
      <x:c r="M7" s="28" t="str">
        <x:v>تعریف شاخص‌ها</x:v>
      </x:c>
    </x:row>
    <x:row r="8" ht="15" hidden="0" customHeight="1">
      <x:c r="A8" s="41" t="str">
        <x:v>شاخص</x:v>
      </x:c>
      <x:c r="B8" s="41" t="str">
        <x:v>تعریف</x:v>
      </x:c>
      <x:c r="C8" s="41" t="str">
        <x:v>صورت / منطق</x:v>
      </x:c>
      <x:c r="D8" s="41" t="str">
        <x:v>مخرج</x:v>
      </x:c>
      <x:c r="E8" s="41" t="str">
        <x:v>واحد</x:v>
      </x:c>
      <x:c r="F8" s="41" t="str">
        <x:v>شیت مالک</x:v>
      </x:c>
      <x:c r="G8" s="41" t="str">
        <x:v>تناوب</x:v>
      </x:c>
      <x:c r="H8" s="41" t="str">
        <x:v>مالک</x:v>
      </x:c>
      <x:c r="I8" s="41" t="str">
        <x:v>کاربرد تصمیم</x:v>
      </x:c>
      <x:c r="J8" s="41" t="str">
        <x:v>محدودیت داده</x:v>
      </x:c>
      <x:c r="K8" s="3"/>
      <x:c r="L8" s="3"/>
      <x:c r="M8" s="3"/>
    </x:row>
    <x:row r="9" ht="36" hidden="0" customHeight="1">
      <x:c r="A9" s="232" t="str">
        <x:v>فروش ناخالص</x:v>
      </x:c>
      <x:c r="B9" s="232" t="str">
        <x:v>قیمت فهرست ضربدر واحد تحویل‌شده</x:v>
      </x:c>
      <x:c r="C9" s="232" t="str">
        <x:v>قیمت × واحد</x:v>
      </x:c>
      <x:c r="D9" s="232" t="str">
        <x:v>ندارد</x:v>
      </x:c>
      <x:c r="E9" s="232" t="str">
        <x:v>تومان</x:v>
      </x:c>
      <x:c r="F9" s="232" t="str">
        <x:v>محصول و کانال</x:v>
      </x:c>
      <x:c r="G9" s="232" t="str">
        <x:v>ماهانه</x:v>
      </x:c>
      <x:c r="H9" s="232" t="str">
        <x:v>فروش</x:v>
      </x:c>
      <x:c r="I9" s="232" t="str">
        <x:v>مقیاس فعالیت</x:v>
      </x:c>
      <x:c r="J9" s="232" t="str">
        <x:v>تخفیف و برگشت را نمی‌بیند</x:v>
      </x:c>
      <x:c r="K9" s="3"/>
      <x:c r="L9" s="3"/>
      <x:c r="M9" s="3"/>
    </x:row>
    <x:row r="10" ht="24" hidden="0" customHeight="1">
      <x:c r="A10" s="232" t="str">
        <x:v>فروش خالص</x:v>
      </x:c>
      <x:c r="B10" s="232" t="str">
        <x:v>فروش پس از تخفیف و بازپرداخت</x:v>
      </x:c>
      <x:c r="C10" s="232" t="str">
        <x:v>فروش ناخالص منهای تخفیف و بازپرداخت</x:v>
      </x:c>
      <x:c r="D10" s="232" t="str">
        <x:v>ندارد</x:v>
      </x:c>
      <x:c r="E10" s="232" t="str">
        <x:v>تومان</x:v>
      </x:c>
      <x:c r="F10" s="232" t="str">
        <x:v>محصول و کانال</x:v>
      </x:c>
      <x:c r="G10" s="232" t="str">
        <x:v>هفتگی / ماهانه</x:v>
      </x:c>
      <x:c r="H10" s="232" t="str">
        <x:v>مالی</x:v>
      </x:c>
      <x:c r="I10" s="232" t="str">
        <x:v>درآمد قابل تحلیل</x:v>
      </x:c>
      <x:c r="J10" s="232" t="str">
        <x:v>با وجه وصول‌شده یکی نیست</x:v>
      </x:c>
      <x:c r="K10" s="3"/>
      <x:c r="L10" s="3"/>
      <x:c r="M10" s="3"/>
    </x:row>
    <x:row r="11" ht="24" hidden="0" customHeight="1">
      <x:c r="A11" s="232" t="str">
        <x:v>COGS</x:v>
      </x:c>
      <x:c r="B11" s="232" t="str">
        <x:v>بهای کالای سالم و فروخته‌شده</x:v>
      </x:c>
      <x:c r="C11" s="232" t="str">
        <x:v>واحد سالم × بهای واحد</x:v>
      </x:c>
      <x:c r="D11" s="232" t="str">
        <x:v>واحد سالم</x:v>
      </x:c>
      <x:c r="E11" s="232" t="str">
        <x:v>تومان</x:v>
      </x:c>
      <x:c r="F11" s="232" t="str">
        <x:v>محصول و کانال</x:v>
      </x:c>
      <x:c r="G11" s="232" t="str">
        <x:v>ماهانه</x:v>
      </x:c>
      <x:c r="H11" s="232" t="str">
        <x:v>مالی / تولید</x:v>
      </x:c>
      <x:c r="I11" s="232" t="str">
        <x:v>حاشیه و قیمت</x:v>
      </x:c>
      <x:c r="J11" s="232" t="str">
        <x:v>هزینه بچ باید بر واحد سالم تقسیم شود</x:v>
      </x:c>
      <x:c r="K11" s="3"/>
      <x:c r="L11" s="3"/>
      <x:c r="M11" s="3"/>
    </x:row>
    <x:row r="12" ht="36" hidden="0" customHeight="1">
      <x:c r="A12" s="232" t="str">
        <x:v>CM1</x:v>
      </x:c>
      <x:c r="B12" s="232" t="str">
        <x:v>مشارکت پس از COGS، کانال، انجام سفارش و خدمت</x:v>
      </x:c>
      <x:c r="C12" s="232" t="str">
        <x:v>فروش خالص منهای COGS و متغیرهای خدمت</x:v>
      </x:c>
      <x:c r="D12" s="232" t="str">
        <x:v>ندارد</x:v>
      </x:c>
      <x:c r="E12" s="232" t="str">
        <x:v>تومان</x:v>
      </x:c>
      <x:c r="F12" s="232" t="str">
        <x:v>محصول و کانال</x:v>
      </x:c>
      <x:c r="G12" s="232" t="str">
        <x:v>هفتگی / ماهانه</x:v>
      </x:c>
      <x:c r="H12" s="232" t="str">
        <x:v>مالی</x:v>
      </x:c>
      <x:c r="I12" s="232" t="str">
        <x:v>کیفیت هر فروش</x:v>
      </x:c>
      <x:c r="J12" s="232" t="str">
        <x:v>هزینه جذب در این لایه نیست</x:v>
      </x:c>
      <x:c r="K12" s="3"/>
      <x:c r="L12" s="3"/>
      <x:c r="M12" s="3"/>
    </x:row>
    <x:row r="13" ht="36" hidden="0" customHeight="1">
      <x:c r="A13" s="232" t="str">
        <x:v>CM2</x:v>
      </x:c>
      <x:c r="B13" s="232" t="str">
        <x:v>مشارکت پس از هزینه جذب قابل انتساب</x:v>
      </x:c>
      <x:c r="C13" s="232" t="str">
        <x:v>CM1 منهای هزینه جذب</x:v>
      </x:c>
      <x:c r="D13" s="232" t="str">
        <x:v>ندارد</x:v>
      </x:c>
      <x:c r="E13" s="232" t="str">
        <x:v>تومان و درصد</x:v>
      </x:c>
      <x:c r="F13" s="232" t="str">
        <x:v>محصول و کانال</x:v>
      </x:c>
      <x:c r="G13" s="232" t="str">
        <x:v>هفتگی / ماهانه</x:v>
      </x:c>
      <x:c r="H13" s="232" t="str">
        <x:v>مالی / رشد</x:v>
      </x:c>
      <x:c r="I13" s="232" t="str">
        <x:v>بودجه، کانال و مقیاس</x:v>
      </x:c>
      <x:c r="J13" s="232" t="str">
        <x:v>هزینه جذب دوباره شمرده نشود</x:v>
      </x:c>
      <x:c r="K13" s="3"/>
      <x:c r="L13" s="3"/>
      <x:c r="M13" s="3"/>
    </x:row>
    <x:row r="14" ht="24" hidden="0" customHeight="1">
      <x:c r="A14" s="232" t="str">
        <x:v>CAC</x:v>
      </x:c>
      <x:c r="B14" s="232" t="str">
        <x:v>هزینه جذب مشتری جدید معتبر</x:v>
      </x:c>
      <x:c r="C14" s="232" t="str">
        <x:v>هزینه جذب قابل انتساب</x:v>
      </x:c>
      <x:c r="D14" s="232" t="str">
        <x:v>مشتری جدید معتبر</x:v>
      </x:c>
      <x:c r="E14" s="232" t="str">
        <x:v>تومان</x:v>
      </x:c>
      <x:c r="F14" s="232" t="str">
        <x:v>قیف و آزمایش‌ها</x:v>
      </x:c>
      <x:c r="G14" s="232" t="str">
        <x:v>هفتگی / ماهانه</x:v>
      </x:c>
      <x:c r="H14" s="232" t="str">
        <x:v>رشد</x:v>
      </x:c>
      <x:c r="I14" s="232" t="str">
        <x:v>بودجه جذب</x:v>
      </x:c>
      <x:c r="J14" s="232" t="str">
        <x:v>سفارش تکراری در مخرج نیست</x:v>
      </x:c>
      <x:c r="K14" s="3"/>
      <x:c r="L14" s="3"/>
      <x:c r="M14" s="3"/>
    </x:row>
    <x:row r="15" ht="36" hidden="0" customHeight="1">
      <x:c r="A15" s="232" t="str">
        <x:v>AOV</x:v>
      </x:c>
      <x:c r="B15" s="232" t="str">
        <x:v>میانگین فروش خالص هر سفارش پرداخت‌شده</x:v>
      </x:c>
      <x:c r="C15" s="232" t="str">
        <x:v>فروش خالص</x:v>
      </x:c>
      <x:c r="D15" s="232" t="str">
        <x:v>سفارش پرداخت‌شده</x:v>
      </x:c>
      <x:c r="E15" s="232" t="str">
        <x:v>تومان</x:v>
      </x:c>
      <x:c r="F15" s="232" t="str">
        <x:v>محصول و کانال</x:v>
      </x:c>
      <x:c r="G15" s="232" t="str">
        <x:v>ماهانه</x:v>
      </x:c>
      <x:c r="H15" s="232" t="str">
        <x:v>فروش</x:v>
      </x:c>
      <x:c r="I15" s="232" t="str">
        <x:v>سبد و قیمت</x:v>
      </x:c>
      <x:c r="J15" s="232" t="str">
        <x:v>لغو و بازپرداخت باید روشن باشد</x:v>
      </x:c>
      <x:c r="K15" s="3"/>
      <x:c r="L15" s="3"/>
      <x:c r="M15" s="3"/>
    </x:row>
    <x:row r="16" ht="36" hidden="0" customHeight="1">
      <x:c r="A16" s="232" t="str">
        <x:v>نرخ تبدیل کل</x:v>
      </x:c>
      <x:c r="B16" s="232" t="str">
        <x:v>سفارش پرداخت‌شده از بازدید</x:v>
      </x:c>
      <x:c r="C16" s="232" t="str">
        <x:v>سفارش پرداخت‌شده</x:v>
      </x:c>
      <x:c r="D16" s="232" t="str">
        <x:v>بازدید معتبر</x:v>
      </x:c>
      <x:c r="E16" s="232" t="str">
        <x:v>درصد</x:v>
      </x:c>
      <x:c r="F16" s="232" t="str">
        <x:v>قیف و آزمایش‌ها</x:v>
      </x:c>
      <x:c r="G16" s="232" t="str">
        <x:v>هفتگی</x:v>
      </x:c>
      <x:c r="H16" s="232" t="str">
        <x:v>فروش / رشد</x:v>
      </x:c>
      <x:c r="I16" s="232" t="str">
        <x:v>نشتی قیف</x:v>
      </x:c>
      <x:c r="J16" s="232" t="str">
        <x:v>ترافیک آزمایشی و ربات حذف شود</x:v>
      </x:c>
      <x:c r="K16" s="3"/>
      <x:c r="L16" s="3"/>
      <x:c r="M16" s="3"/>
    </x:row>
    <x:row r="17" ht="36" hidden="0" customHeight="1">
      <x:c r="A17" s="232" t="str">
        <x:v>گردش موجودی</x:v>
      </x:c>
      <x:c r="B17" s="232" t="str">
        <x:v>واحد فروخته‌شده نسبت به متوسط موجودی</x:v>
      </x:c>
      <x:c r="C17" s="232" t="str">
        <x:v>واحد فروخته‌شده</x:v>
      </x:c>
      <x:c r="D17" s="232" t="str">
        <x:v>متوسط موجودی اول و پایان</x:v>
      </x:c>
      <x:c r="E17" s="232" t="str">
        <x:v>بار</x:v>
      </x:c>
      <x:c r="F17" s="232" t="str">
        <x:v>محصول و کانال</x:v>
      </x:c>
      <x:c r="G17" s="232" t="str">
        <x:v>ماهانه</x:v>
      </x:c>
      <x:c r="H17" s="232" t="str">
        <x:v>عملیات</x:v>
      </x:c>
      <x:c r="I17" s="232" t="str">
        <x:v>سرعت گردش</x:v>
      </x:c>
      <x:c r="J17" s="232" t="str">
        <x:v>در SKU و دوره همسان</x:v>
      </x:c>
      <x:c r="K17" s="3"/>
      <x:c r="L17" s="3"/>
      <x:c r="M17" s="3"/>
    </x:row>
    <x:row r="18" ht="36" hidden="0" customHeight="1">
      <x:c r="A18" s="232" t="str">
        <x:v>پوشش موجودی</x:v>
      </x:c>
      <x:c r="B18" s="232" t="str">
        <x:v>هفته‌های فروش قابل پوشش با موجودی پایان</x:v>
      </x:c>
      <x:c r="C18" s="232" t="str">
        <x:v>موجودی پایان</x:v>
      </x:c>
      <x:c r="D18" s="232" t="str">
        <x:v>فروش هفتگی متوسط</x:v>
      </x:c>
      <x:c r="E18" s="232" t="str">
        <x:v>هفته</x:v>
      </x:c>
      <x:c r="F18" s="232" t="str">
        <x:v>محصول و کانال</x:v>
      </x:c>
      <x:c r="G18" s="232" t="str">
        <x:v>هفتگی</x:v>
      </x:c>
      <x:c r="H18" s="232" t="str">
        <x:v>عملیات</x:v>
      </x:c>
      <x:c r="I18" s="232" t="str">
        <x:v>سفارش مجدد</x:v>
      </x:c>
      <x:c r="J18" s="232" t="str">
        <x:v>افت یا رشد تقاضا آن را جابه‌جا می‌کند</x:v>
      </x:c>
      <x:c r="K18" s="3"/>
      <x:c r="L18" s="3"/>
      <x:c r="M18" s="3"/>
    </x:row>
    <x:row r="19" ht="36" hidden="0" customHeight="1">
      <x:c r="A19" s="232" t="str">
        <x:v>روزهای وصول</x:v>
      </x:c>
      <x:c r="B19" s="232" t="str">
        <x:v>زمان متوسط تبدیل فروش اعتباری به نقد</x:v>
      </x:c>
      <x:c r="C19" s="232" t="str">
        <x:v>مطالبات متوسط</x:v>
      </x:c>
      <x:c r="D19" s="232" t="str">
        <x:v>فروش اعتباری روزانه</x:v>
      </x:c>
      <x:c r="E19" s="232" t="str">
        <x:v>روز</x:v>
      </x:c>
      <x:c r="F19" s="232" t="str">
        <x:v>تقویم نقد</x:v>
      </x:c>
      <x:c r="G19" s="232" t="str">
        <x:v>هفتگی / ماهانه</x:v>
      </x:c>
      <x:c r="H19" s="232" t="str">
        <x:v>مالی</x:v>
      </x:c>
      <x:c r="I19" s="232" t="str">
        <x:v>ریسک نقد</x:v>
      </x:c>
      <x:c r="J19" s="232" t="str">
        <x:v>فروش نقدی جدا شود</x:v>
      </x:c>
      <x:c r="K19" s="3"/>
      <x:c r="L19" s="3"/>
      <x:c r="M19" s="3"/>
    </x:row>
    <x:row r="20" ht="24" hidden="0" customHeight="1">
      <x:c r="A20" s="232" t="str">
        <x:v>نقطه سربه‌سر</x:v>
      </x:c>
      <x:c r="B20" s="232" t="str">
        <x:v>سفارش لازم برای پوشش هزینه ثابت</x:v>
      </x:c>
      <x:c r="C20" s="232" t="str">
        <x:v>هزینه ثابت</x:v>
      </x:c>
      <x:c r="D20" s="232" t="str">
        <x:v>CM2 هر سفارش</x:v>
      </x:c>
      <x:c r="E20" s="232" t="str">
        <x:v>سفارش</x:v>
      </x:c>
      <x:c r="F20" s="232" t="str">
        <x:v>اقتصاد واحد</x:v>
      </x:c>
      <x:c r="G20" s="232" t="str">
        <x:v>ماهانه</x:v>
      </x:c>
      <x:c r="H20" s="232" t="str">
        <x:v>مالک کسب‌وکار</x:v>
      </x:c>
      <x:c r="I20" s="232" t="str">
        <x:v>گیت سفارش</x:v>
      </x:c>
      <x:c r="J20" s="232" t="str">
        <x:v>ترکیب فروش باید ثابت یا وزن‌دار باشد</x:v>
      </x:c>
      <x:c r="K20" s="3"/>
      <x:c r="L20" s="3"/>
      <x:c r="M20" s="3"/>
    </x:row>
    <x:row r="21" ht="36" hidden="0" customHeight="1">
      <x:c r="A21" s="232" t="str">
        <x:v>نرخ مرجوعی واحدی</x:v>
      </x:c>
      <x:c r="B21" s="232" t="str">
        <x:v>واحد مرجوعی از واحد تحویل‌شده همان پنجره</x:v>
      </x:c>
      <x:c r="C21" s="232" t="str">
        <x:v>واحد مرجوعی</x:v>
      </x:c>
      <x:c r="D21" s="232" t="str">
        <x:v>واحد تحویل‌شده</x:v>
      </x:c>
      <x:c r="E21" s="232" t="str">
        <x:v>درصد</x:v>
      </x:c>
      <x:c r="F21" s="232" t="str">
        <x:v>مرجوعی و بازخورد</x:v>
      </x:c>
      <x:c r="G21" s="232" t="str">
        <x:v>هفتگی</x:v>
      </x:c>
      <x:c r="H21" s="232" t="str">
        <x:v>کیفیت / خدمات</x:v>
      </x:c>
      <x:c r="I21" s="232" t="str">
        <x:v>کیفیت و پیام</x:v>
      </x:c>
      <x:c r="J21" s="232" t="str">
        <x:v>پنجره مرجوعی باید کامل باشد</x:v>
      </x:c>
      <x:c r="K21" s="3"/>
      <x:c r="L21" s="3"/>
      <x:c r="M21" s="3"/>
    </x:row>
    <x:row r="22" ht="36" hidden="0" customHeight="1">
      <x:c r="A22" s="232" t="str">
        <x:v>تکرار کوهورت</x:v>
      </x:c>
      <x:c r="B22" s="232" t="str">
        <x:v>مشتری دارای خرید دوم در کوهورت واجدفرصت</x:v>
      </x:c>
      <x:c r="C22" s="232" t="str">
        <x:v>مشتری تکرارشده</x:v>
      </x:c>
      <x:c r="D22" s="232" t="str">
        <x:v>مشتری واجدفرصت</x:v>
      </x:c>
      <x:c r="E22" s="232" t="str">
        <x:v>درصد</x:v>
      </x:c>
      <x:c r="F22" s="232" t="str">
        <x:v>کوهورت و تکرار</x:v>
      </x:c>
      <x:c r="G22" s="232" t="str">
        <x:v>ماهانه</x:v>
      </x:c>
      <x:c r="H22" s="232" t="str">
        <x:v>رشد / CRM</x:v>
      </x:c>
      <x:c r="I22" s="232" t="str">
        <x:v>کیفیت جذب</x:v>
      </x:c>
      <x:c r="J22" s="232" t="str">
        <x:v>کوهورت نابالغ حذف نشود؛ برچسب بخورد</x:v>
      </x:c>
      <x:c r="K22" s="3"/>
      <x:c r="L22" s="3"/>
      <x:c r="M22" s="3"/>
    </x:row>
    <x:row r="23" ht="36" hidden="0" customHeight="1">
      <x:c r="A23" s="232" t="str">
        <x:v>LTV مشارکت</x:v>
      </x:c>
      <x:c r="B23" s="232" t="str">
        <x:v>CM2 تحقق‌یافته هر مشتری آغاز کوهورت</x:v>
      </x:c>
      <x:c r="C23" s="232" t="str">
        <x:v>CM2 تجمعی کوهورت</x:v>
      </x:c>
      <x:c r="D23" s="232" t="str">
        <x:v>مشتری جذب‌شده</x:v>
      </x:c>
      <x:c r="E23" s="232" t="str">
        <x:v>تومان</x:v>
      </x:c>
      <x:c r="F23" s="232" t="str">
        <x:v>کوهورت و تکرار</x:v>
      </x:c>
      <x:c r="G23" s="232" t="str">
        <x:v>ماهانه</x:v>
      </x:c>
      <x:c r="H23" s="232" t="str">
        <x:v>مالی / رشد</x:v>
      </x:c>
      <x:c r="I23" s="232" t="str">
        <x:v>سقف جذب</x:v>
      </x:c>
      <x:c r="J23" s="232" t="str">
        <x:v>درآمد عمر مشتری نیست</x:v>
      </x:c>
      <x:c r="K23" s="3"/>
      <x:c r="L23" s="3"/>
      <x:c r="M23" s="3"/>
    </x:row>
    <x:row r="24" ht="24" hidden="0" customHeight="1">
      <x:c r="A24" s="232" t="str">
        <x:v>کمترین مانده ۱۳ هفته</x:v>
      </x:c>
      <x:c r="B24" s="232" t="str">
        <x:v>کمترین مانده پایان هفته در افق نقد</x:v>
      </x:c>
      <x:c r="C24" s="232" t="str">
        <x:v>MIN مانده‌های هفتگی</x:v>
      </x:c>
      <x:c r="D24" s="232" t="str">
        <x:v>ندارد</x:v>
      </x:c>
      <x:c r="E24" s="232" t="str">
        <x:v>تومان</x:v>
      </x:c>
      <x:c r="F24" s="232" t="str">
        <x:v>تقویم نقد</x:v>
      </x:c>
      <x:c r="G24" s="232" t="str">
        <x:v>هفتگی</x:v>
      </x:c>
      <x:c r="H24" s="232" t="str">
        <x:v>مالی</x:v>
      </x:c>
      <x:c r="I24" s="232" t="str">
        <x:v>نیاز تأمین</x:v>
      </x:c>
      <x:c r="J24" s="232" t="str">
        <x:v>به تاریخ واقعی رویداد وابسته است</x:v>
      </x:c>
      <x:c r="K24" s="3"/>
      <x:c r="L24" s="3"/>
      <x:c r="M24" s="3"/>
    </x:row>
    <x:row r="25" ht="15" hidden="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15" hidden="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15" hidden="0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15" hidden="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15" hidden="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15" hidden="0" customHeight="1">
      <x:c r="A31" s="26" t="str">
        <x:v>رویدادهای اثرگذار بر تفسیر داده</x:v>
      </x:c>
      <x:c r="B31" s="27" t="str">
        <x:v>رویدادهای اثرگذار بر تفسیر داده</x:v>
      </x:c>
      <x:c r="C31" s="27" t="str">
        <x:v>رویدادهای اثرگذار بر تفسیر داده</x:v>
      </x:c>
      <x:c r="D31" s="27" t="str">
        <x:v>رویدادهای اثرگذار بر تفسیر داده</x:v>
      </x:c>
      <x:c r="E31" s="27" t="str">
        <x:v>رویدادهای اثرگذار بر تفسیر داده</x:v>
      </x:c>
      <x:c r="F31" s="27" t="str">
        <x:v>رویدادهای اثرگذار بر تفسیر داده</x:v>
      </x:c>
      <x:c r="G31" s="27" t="str">
        <x:v>رویدادهای اثرگذار بر تفسیر داده</x:v>
      </x:c>
      <x:c r="H31" s="27" t="str">
        <x:v>رویدادهای اثرگذار بر تفسیر داده</x:v>
      </x:c>
      <x:c r="I31" s="27" t="str">
        <x:v>رویدادهای اثرگذار بر تفسیر داده</x:v>
      </x:c>
      <x:c r="J31" s="27" t="str">
        <x:v>رویدادهای اثرگذار بر تفسیر داده</x:v>
      </x:c>
      <x:c r="K31" s="27" t="str">
        <x:v>رویدادهای اثرگذار بر تفسیر داده</x:v>
      </x:c>
      <x:c r="L31" s="27" t="str">
        <x:v>رویدادهای اثرگذار بر تفسیر داده</x:v>
      </x:c>
      <x:c r="M31" s="28" t="str">
        <x:v>رویدادهای اثرگذار بر تفسیر داده</x:v>
      </x:c>
    </x:row>
    <x:row r="32" ht="15" hidden="0" customHeight="1">
      <x:c r="A32" s="133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B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C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D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E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F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G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H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I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J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K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L32" s="134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  <x:c r="M32" s="135" t="str">
        <x:v>تغییر قیمت، کمپین، ناموجودی، رخداد کیفیت، کانال مشکوک یا اختلال داده را همان روز ثبت کنید. این دفتر به توضیح جهش شاخص‌ها کمک می‌کند.</x:v>
      </x:c>
    </x:row>
    <x:row r="33" ht="15" hidden="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15" hidden="0" customHeight="1">
      <x:c r="A34" s="41" t="str">
        <x:v>شناسه</x:v>
      </x:c>
      <x:c r="B34" s="41" t="str">
        <x:v>تاریخ</x:v>
      </x:c>
      <x:c r="C34" s="41" t="str">
        <x:v>نوع رویداد</x:v>
      </x:c>
      <x:c r="D34" s="41" t="str">
        <x:v>SKU</x:v>
      </x:c>
      <x:c r="E34" s="41" t="str">
        <x:v>کانال</x:v>
      </x:c>
      <x:c r="F34" s="41" t="str">
        <x:v>شرح</x:v>
      </x:c>
      <x:c r="G34" s="41" t="str">
        <x:v>اثر مورد انتظار</x:v>
      </x:c>
      <x:c r="H34" s="41" t="str">
        <x:v>اثر واقعی</x:v>
      </x:c>
      <x:c r="I34" s="41" t="str">
        <x:v>آلودگی داده</x:v>
      </x:c>
      <x:c r="J34" s="41" t="str">
        <x:v>کانال مشکوک</x:v>
      </x:c>
      <x:c r="K34" s="41" t="str">
        <x:v>مالک</x:v>
      </x:c>
      <x:c r="L34" s="41" t="str">
        <x:v>وضعیت</x:v>
      </x:c>
      <x:c r="M34" s="41" t="str">
        <x:v>منبع / شاهد</x:v>
      </x:c>
    </x:row>
    <x:row r="35" ht="15" hidden="0" customHeight="1">
      <x:c r="A35" s="22" t="str">
        <x:v>EVT-DEMO-01</x:v>
      </x:c>
      <x:c r="B35" s="29" t="n">
        <x:v>46280</x:v>
      </x:c>
      <x:c r="C35" s="261" t="str">
        <x:v>تغییر صفحه محصول</x:v>
      </x:c>
      <x:c r="D35" s="261" t="str">
        <x:v>نمونه-SKU01</x:v>
      </x:c>
      <x:c r="E35" s="261" t="str">
        <x:v>فروشگاه آنلاین</x:v>
      </x:c>
      <x:c r="F35" s="261" t="str">
        <x:v>عنوان و تصویر اصلی اصلاح شد.</x:v>
      </x:c>
      <x:c r="G35" s="261" t="str">
        <x:v>بهبود تبدیل بدون افت CM2</x:v>
      </x:c>
      <x:c r="H35" s="261" t="str"/>
      <x:c r="I35" s="261" t="str">
        <x:v>خیر</x:v>
      </x:c>
      <x:c r="J35" s="261" t="str">
        <x:v>خیر</x:v>
      </x:c>
      <x:c r="K35" s="261" t="str">
        <x:v>فروش</x:v>
      </x:c>
      <x:c r="L35" s="261" t="str">
        <x:v>در حال اجرا</x:v>
      </x:c>
      <x:c r="M35" s="261" t="str">
        <x:v>EXP-DEMO-01</x:v>
      </x:c>
    </x:row>
    <x:row r="36" ht="15" hidden="0" customHeight="1">
      <x:c r="A36" s="22" t="str">
        <x:v>EVT-DEMO-02</x:v>
      </x:c>
      <x:c r="B36" s="29" t="n">
        <x:v>46344</x:v>
      </x:c>
      <x:c r="C36" s="261" t="str">
        <x:v>کانال مشکوک</x:v>
      </x:c>
      <x:c r="D36" s="261" t="str">
        <x:v>نمونه-SKU01</x:v>
      </x:c>
      <x:c r="E36" s="261" t="str">
        <x:v>مارکت‌پلیس</x:v>
      </x:c>
      <x:c r="F36" s="261" t="str">
        <x:v>مغایرت کالا و الگوی مرجوعی نیازمند بررسی شد.</x:v>
      </x:c>
      <x:c r="G36" s="261" t="str">
        <x:v>توقف موقت و بررسی منشأ</x:v>
      </x:c>
      <x:c r="H36" s="261" t="str"/>
      <x:c r="I36" s="261" t="str">
        <x:v>در بررسی</x:v>
      </x:c>
      <x:c r="J36" s="261" t="str">
        <x:v>بله</x:v>
      </x:c>
      <x:c r="K36" s="261" t="str">
        <x:v>کیفیت</x:v>
      </x:c>
      <x:c r="L36" s="261" t="str">
        <x:v>باز</x:v>
      </x:c>
      <x:c r="M36" s="261" t="str">
        <x:v>RET-DEMO-03</x:v>
      </x:c>
    </x:row>
    <x:row r="37" ht="15" hidden="0" customHeight="1">
      <x:c r="A37" s="22"/>
      <x:c r="B37" s="29"/>
      <x:c r="C37" s="261"/>
      <x:c r="D37" s="261"/>
      <x:c r="E37" s="261"/>
      <x:c r="F37" s="261"/>
      <x:c r="G37" s="261"/>
      <x:c r="H37" s="261"/>
      <x:c r="I37" s="261"/>
      <x:c r="J37" s="261"/>
      <x:c r="K37" s="261"/>
      <x:c r="L37" s="261"/>
      <x:c r="M37" s="261"/>
    </x:row>
    <x:row r="38" ht="15" hidden="0" customHeight="1">
      <x:c r="A38" s="22"/>
      <x:c r="B38" s="29"/>
      <x:c r="C38" s="261"/>
      <x:c r="D38" s="261"/>
      <x:c r="E38" s="261"/>
      <x:c r="F38" s="261"/>
      <x:c r="G38" s="261"/>
      <x:c r="H38" s="261"/>
      <x:c r="I38" s="261"/>
      <x:c r="J38" s="261"/>
      <x:c r="K38" s="261"/>
      <x:c r="L38" s="261"/>
      <x:c r="M38" s="261"/>
    </x:row>
    <x:row r="39" ht="15" hidden="0" customHeight="1">
      <x:c r="A39" s="22"/>
      <x:c r="B39" s="29"/>
      <x:c r="C39" s="261"/>
      <x:c r="D39" s="261"/>
      <x:c r="E39" s="261"/>
      <x:c r="F39" s="261"/>
      <x:c r="G39" s="261"/>
      <x:c r="H39" s="261"/>
      <x:c r="I39" s="261"/>
      <x:c r="J39" s="261"/>
      <x:c r="K39" s="261"/>
      <x:c r="L39" s="261"/>
      <x:c r="M39" s="261"/>
    </x:row>
    <x:row r="40" ht="15" hidden="0" customHeight="1">
      <x:c r="A40" s="22"/>
      <x:c r="B40" s="29"/>
      <x:c r="C40" s="261"/>
      <x:c r="D40" s="261"/>
      <x:c r="E40" s="261"/>
      <x:c r="F40" s="261"/>
      <x:c r="G40" s="261"/>
      <x:c r="H40" s="261"/>
      <x:c r="I40" s="261"/>
      <x:c r="J40" s="261"/>
      <x:c r="K40" s="261"/>
      <x:c r="L40" s="261"/>
      <x:c r="M40" s="261"/>
    </x:row>
    <x:row r="41" ht="15" hidden="0" customHeight="1">
      <x:c r="A41" s="22"/>
      <x:c r="B41" s="29"/>
      <x:c r="C41" s="261"/>
      <x:c r="D41" s="261"/>
      <x:c r="E41" s="261"/>
      <x:c r="F41" s="261"/>
      <x:c r="G41" s="261"/>
      <x:c r="H41" s="261"/>
      <x:c r="I41" s="261"/>
      <x:c r="J41" s="261"/>
      <x:c r="K41" s="261"/>
      <x:c r="L41" s="261"/>
      <x:c r="M41" s="261"/>
    </x:row>
    <x:row r="42" ht="15" hidden="0" customHeight="1">
      <x:c r="A42" s="22"/>
      <x:c r="B42" s="29"/>
      <x:c r="C42" s="261"/>
      <x:c r="D42" s="261"/>
      <x:c r="E42" s="261"/>
      <x:c r="F42" s="261"/>
      <x:c r="G42" s="261"/>
      <x:c r="H42" s="261"/>
      <x:c r="I42" s="261"/>
      <x:c r="J42" s="261"/>
      <x:c r="K42" s="261"/>
      <x:c r="L42" s="261"/>
      <x:c r="M42" s="261"/>
    </x:row>
    <x:row r="43" ht="15" hidden="0" customHeight="1">
      <x:c r="A43" s="22"/>
      <x:c r="B43" s="29"/>
      <x:c r="C43" s="261"/>
      <x:c r="D43" s="261"/>
      <x:c r="E43" s="261"/>
      <x:c r="F43" s="261"/>
      <x:c r="G43" s="261"/>
      <x:c r="H43" s="261"/>
      <x:c r="I43" s="261"/>
      <x:c r="J43" s="261"/>
      <x:c r="K43" s="261"/>
      <x:c r="L43" s="261"/>
      <x:c r="M43" s="261"/>
    </x:row>
    <x:row r="44" ht="15" hidden="0" customHeight="1">
      <x:c r="A44" s="22"/>
      <x:c r="B44" s="29"/>
      <x:c r="C44" s="261"/>
      <x:c r="D44" s="261"/>
      <x:c r="E44" s="261"/>
      <x:c r="F44" s="261"/>
      <x:c r="G44" s="261"/>
      <x:c r="H44" s="261"/>
      <x:c r="I44" s="261"/>
      <x:c r="J44" s="261"/>
      <x:c r="K44" s="261"/>
      <x:c r="L44" s="261"/>
      <x:c r="M44" s="261"/>
    </x:row>
    <x:row r="45" ht="15" hidden="0" customHeight="1">
      <x:c r="A45" s="22"/>
      <x:c r="B45" s="29"/>
      <x:c r="C45" s="261"/>
      <x:c r="D45" s="261"/>
      <x:c r="E45" s="261"/>
      <x:c r="F45" s="261"/>
      <x:c r="G45" s="261"/>
      <x:c r="H45" s="261"/>
      <x:c r="I45" s="261"/>
      <x:c r="J45" s="261"/>
      <x:c r="K45" s="261"/>
      <x:c r="L45" s="261"/>
      <x:c r="M45" s="261"/>
    </x:row>
    <x:row r="46" ht="15" hidden="0" customHeight="1">
      <x:c r="A46" s="22"/>
      <x:c r="B46" s="29"/>
      <x:c r="C46" s="261"/>
      <x:c r="D46" s="261"/>
      <x:c r="E46" s="261"/>
      <x:c r="F46" s="261"/>
      <x:c r="G46" s="261"/>
      <x:c r="H46" s="261"/>
      <x:c r="I46" s="261"/>
      <x:c r="J46" s="261"/>
      <x:c r="K46" s="261"/>
      <x:c r="L46" s="261"/>
      <x:c r="M46" s="261"/>
    </x:row>
    <x:row r="47" ht="15" hidden="0" customHeight="1">
      <x:c r="A47" s="22"/>
      <x:c r="B47" s="29"/>
      <x:c r="C47" s="261"/>
      <x:c r="D47" s="261"/>
      <x:c r="E47" s="261"/>
      <x:c r="F47" s="261"/>
      <x:c r="G47" s="261"/>
      <x:c r="H47" s="261"/>
      <x:c r="I47" s="261"/>
      <x:c r="J47" s="261"/>
      <x:c r="K47" s="261"/>
      <x:c r="L47" s="261"/>
      <x:c r="M47" s="261"/>
    </x:row>
    <x:row r="48" ht="15" hidden="0" customHeight="1">
      <x:c r="A48" s="22"/>
      <x:c r="B48" s="29"/>
      <x:c r="C48" s="261"/>
      <x:c r="D48" s="261"/>
      <x:c r="E48" s="261"/>
      <x:c r="F48" s="261"/>
      <x:c r="G48" s="261"/>
      <x:c r="H48" s="261"/>
      <x:c r="I48" s="261"/>
      <x:c r="J48" s="261"/>
      <x:c r="K48" s="261"/>
      <x:c r="L48" s="261"/>
      <x:c r="M48" s="261"/>
    </x:row>
    <x:row r="49" ht="15" hidden="0" customHeight="1">
      <x:c r="A49" s="22"/>
      <x:c r="B49" s="29"/>
      <x:c r="C49" s="261"/>
      <x:c r="D49" s="261"/>
      <x:c r="E49" s="261"/>
      <x:c r="F49" s="261"/>
      <x:c r="G49" s="261"/>
      <x:c r="H49" s="261"/>
      <x:c r="I49" s="261"/>
      <x:c r="J49" s="261"/>
      <x:c r="K49" s="261"/>
      <x:c r="L49" s="261"/>
      <x:c r="M49" s="261"/>
    </x:row>
    <x:row r="50" ht="15" hidden="0" customHeight="1">
      <x:c r="A50" s="22"/>
      <x:c r="B50" s="29"/>
      <x:c r="C50" s="261"/>
      <x:c r="D50" s="261"/>
      <x:c r="E50" s="261"/>
      <x:c r="F50" s="261"/>
      <x:c r="G50" s="261"/>
      <x:c r="H50" s="261"/>
      <x:c r="I50" s="261"/>
      <x:c r="J50" s="261"/>
      <x:c r="K50" s="261"/>
      <x:c r="L50" s="261"/>
      <x:c r="M50" s="261"/>
    </x:row>
    <x:row r="51" ht="15" hidden="0" customHeight="1">
      <x:c r="A51" s="22"/>
      <x:c r="B51" s="29"/>
      <x:c r="C51" s="261"/>
      <x:c r="D51" s="261"/>
      <x:c r="E51" s="261"/>
      <x:c r="F51" s="261"/>
      <x:c r="G51" s="261"/>
      <x:c r="H51" s="261"/>
      <x:c r="I51" s="261"/>
      <x:c r="J51" s="261"/>
      <x:c r="K51" s="261"/>
      <x:c r="L51" s="261"/>
      <x:c r="M51" s="261"/>
    </x:row>
    <x:row r="52" ht="15" hidden="0" customHeight="1">
      <x:c r="A52" s="22"/>
      <x:c r="B52" s="29"/>
      <x:c r="C52" s="261"/>
      <x:c r="D52" s="261"/>
      <x:c r="E52" s="261"/>
      <x:c r="F52" s="261"/>
      <x:c r="G52" s="261"/>
      <x:c r="H52" s="261"/>
      <x:c r="I52" s="261"/>
      <x:c r="J52" s="261"/>
      <x:c r="K52" s="261"/>
      <x:c r="L52" s="261"/>
      <x:c r="M52" s="261"/>
    </x:row>
    <x:row r="53" ht="15" hidden="0" customHeight="1">
      <x:c r="A53" s="22"/>
      <x:c r="B53" s="29"/>
      <x:c r="C53" s="261"/>
      <x:c r="D53" s="261"/>
      <x:c r="E53" s="261"/>
      <x:c r="F53" s="261"/>
      <x:c r="G53" s="261"/>
      <x:c r="H53" s="261"/>
      <x:c r="I53" s="261"/>
      <x:c r="J53" s="261"/>
      <x:c r="K53" s="261"/>
      <x:c r="L53" s="261"/>
      <x:c r="M53" s="261"/>
    </x:row>
    <x:row r="54" ht="15" hidden="0" customHeight="1">
      <x:c r="A54" s="22"/>
      <x:c r="B54" s="29"/>
      <x:c r="C54" s="261"/>
      <x:c r="D54" s="261"/>
      <x:c r="E54" s="261"/>
      <x:c r="F54" s="261"/>
      <x:c r="G54" s="261"/>
      <x:c r="H54" s="261"/>
      <x:c r="I54" s="261"/>
      <x:c r="J54" s="261"/>
      <x:c r="K54" s="261"/>
      <x:c r="L54" s="261"/>
      <x:c r="M54" s="261"/>
    </x:row>
    <x:row r="55" ht="15" hidden="0" customHeight="1">
      <x:c r="A55" s="22"/>
      <x:c r="B55" s="29"/>
      <x:c r="C55" s="261"/>
      <x:c r="D55" s="261"/>
      <x:c r="E55" s="261"/>
      <x:c r="F55" s="261"/>
      <x:c r="G55" s="261"/>
      <x:c r="H55" s="261"/>
      <x:c r="I55" s="261"/>
      <x:c r="J55" s="261"/>
      <x:c r="K55" s="261"/>
      <x:c r="L55" s="261"/>
      <x:c r="M55" s="261"/>
    </x:row>
    <x:row r="56" ht="15" hidden="0" customHeight="1">
      <x:c r="A56" s="22"/>
      <x:c r="B56" s="29"/>
      <x:c r="C56" s="261"/>
      <x:c r="D56" s="261"/>
      <x:c r="E56" s="261"/>
      <x:c r="F56" s="261"/>
      <x:c r="G56" s="261"/>
      <x:c r="H56" s="261"/>
      <x:c r="I56" s="261"/>
      <x:c r="J56" s="261"/>
      <x:c r="K56" s="261"/>
      <x:c r="L56" s="261"/>
      <x:c r="M56" s="261"/>
    </x:row>
    <x:row r="57" ht="15" hidden="0" customHeight="1">
      <x:c r="A57" s="22"/>
      <x:c r="B57" s="29"/>
      <x:c r="C57" s="261"/>
      <x:c r="D57" s="261"/>
      <x:c r="E57" s="261"/>
      <x:c r="F57" s="261"/>
      <x:c r="G57" s="261"/>
      <x:c r="H57" s="261"/>
      <x:c r="I57" s="261"/>
      <x:c r="J57" s="261"/>
      <x:c r="K57" s="261"/>
      <x:c r="L57" s="261"/>
      <x:c r="M57" s="261"/>
    </x:row>
    <x:row r="58" ht="15" hidden="0" customHeight="1">
      <x:c r="A58" s="22"/>
      <x:c r="B58" s="29"/>
      <x:c r="C58" s="261"/>
      <x:c r="D58" s="261"/>
      <x:c r="E58" s="261"/>
      <x:c r="F58" s="261"/>
      <x:c r="G58" s="261"/>
      <x:c r="H58" s="261"/>
      <x:c r="I58" s="261"/>
      <x:c r="J58" s="261"/>
      <x:c r="K58" s="261"/>
      <x:c r="L58" s="261"/>
      <x:c r="M58" s="261"/>
    </x:row>
    <x:row r="59" ht="15" hidden="0" customHeight="1">
      <x:c r="A59" s="22"/>
      <x:c r="B59" s="29"/>
      <x:c r="C59" s="261"/>
      <x:c r="D59" s="261"/>
      <x:c r="E59" s="261"/>
      <x:c r="F59" s="261"/>
      <x:c r="G59" s="261"/>
      <x:c r="H59" s="261"/>
      <x:c r="I59" s="261"/>
      <x:c r="J59" s="261"/>
      <x:c r="K59" s="261"/>
      <x:c r="L59" s="261"/>
      <x:c r="M59" s="261"/>
    </x:row>
    <x:row r="60" ht="15" hidden="0" customHeight="1">
      <x:c r="A60" s="22"/>
      <x:c r="B60" s="29"/>
      <x:c r="C60" s="261"/>
      <x:c r="D60" s="261"/>
      <x:c r="E60" s="261"/>
      <x:c r="F60" s="261"/>
      <x:c r="G60" s="261"/>
      <x:c r="H60" s="261"/>
      <x:c r="I60" s="261"/>
      <x:c r="J60" s="261"/>
      <x:c r="K60" s="261"/>
      <x:c r="L60" s="261"/>
      <x:c r="M60" s="261"/>
    </x:row>
    <x:row r="61" ht="15" hidden="0" customHeight="1">
      <x:c r="A61" s="22"/>
      <x:c r="B61" s="29"/>
      <x:c r="C61" s="261"/>
      <x:c r="D61" s="261"/>
      <x:c r="E61" s="261"/>
      <x:c r="F61" s="261"/>
      <x:c r="G61" s="261"/>
      <x:c r="H61" s="261"/>
      <x:c r="I61" s="261"/>
      <x:c r="J61" s="261"/>
      <x:c r="K61" s="261"/>
      <x:c r="L61" s="261"/>
      <x:c r="M61" s="261"/>
    </x:row>
    <x:row r="62" ht="15" hidden="0" customHeight="1">
      <x:c r="A62" s="22"/>
      <x:c r="B62" s="29"/>
      <x:c r="C62" s="261"/>
      <x:c r="D62" s="261"/>
      <x:c r="E62" s="261"/>
      <x:c r="F62" s="261"/>
      <x:c r="G62" s="261"/>
      <x:c r="H62" s="261"/>
      <x:c r="I62" s="261"/>
      <x:c r="J62" s="261"/>
      <x:c r="K62" s="261"/>
      <x:c r="L62" s="261"/>
      <x:c r="M62" s="261"/>
    </x:row>
    <x:row r="63" ht="15" hidden="0" customHeight="1">
      <x:c r="A63" s="22"/>
      <x:c r="B63" s="29"/>
      <x:c r="C63" s="261"/>
      <x:c r="D63" s="261"/>
      <x:c r="E63" s="261"/>
      <x:c r="F63" s="261"/>
      <x:c r="G63" s="261"/>
      <x:c r="H63" s="261"/>
      <x:c r="I63" s="261"/>
      <x:c r="J63" s="261"/>
      <x:c r="K63" s="261"/>
      <x:c r="L63" s="261"/>
      <x:c r="M63" s="261"/>
    </x:row>
    <x:row r="64" ht="15" hidden="0" customHeight="1">
      <x:c r="A64" s="22"/>
      <x:c r="B64" s="29"/>
      <x:c r="C64" s="261"/>
      <x:c r="D64" s="261"/>
      <x:c r="E64" s="261"/>
      <x:c r="F64" s="261"/>
      <x:c r="G64" s="261"/>
      <x:c r="H64" s="261"/>
      <x:c r="I64" s="261"/>
      <x:c r="J64" s="261"/>
      <x:c r="K64" s="261"/>
      <x:c r="L64" s="261"/>
      <x:c r="M64" s="261"/>
    </x:row>
    <x:row r="65" ht="15" hidden="0" customHeight="1">
      <x:c r="A65" s="22"/>
      <x:c r="B65" s="29"/>
      <x:c r="C65" s="261"/>
      <x:c r="D65" s="261"/>
      <x:c r="E65" s="261"/>
      <x:c r="F65" s="261"/>
      <x:c r="G65" s="261"/>
      <x:c r="H65" s="261"/>
      <x:c r="I65" s="261"/>
      <x:c r="J65" s="261"/>
      <x:c r="K65" s="261"/>
      <x:c r="L65" s="261"/>
      <x:c r="M65" s="261"/>
    </x:row>
    <x:row r="66" ht="15" hidden="0" customHeight="1">
      <x:c r="A66" s="22"/>
      <x:c r="B66" s="29"/>
      <x:c r="C66" s="261"/>
      <x:c r="D66" s="261"/>
      <x:c r="E66" s="261"/>
      <x:c r="F66" s="261"/>
      <x:c r="G66" s="261"/>
      <x:c r="H66" s="261"/>
      <x:c r="I66" s="261"/>
      <x:c r="J66" s="261"/>
      <x:c r="K66" s="261"/>
      <x:c r="L66" s="261"/>
      <x:c r="M66" s="261"/>
    </x:row>
    <x:row r="67" ht="15" hidden="0" customHeight="1">
      <x:c r="A67" s="22"/>
      <x:c r="B67" s="29"/>
      <x:c r="C67" s="261"/>
      <x:c r="D67" s="261"/>
      <x:c r="E67" s="261"/>
      <x:c r="F67" s="261"/>
      <x:c r="G67" s="261"/>
      <x:c r="H67" s="261"/>
      <x:c r="I67" s="261"/>
      <x:c r="J67" s="261"/>
      <x:c r="K67" s="261"/>
      <x:c r="L67" s="261"/>
      <x:c r="M67" s="261"/>
    </x:row>
    <x:row r="68" ht="15" hidden="0" customHeight="1">
      <x:c r="A68" s="22"/>
      <x:c r="B68" s="29"/>
      <x:c r="C68" s="261"/>
      <x:c r="D68" s="261"/>
      <x:c r="E68" s="261"/>
      <x:c r="F68" s="261"/>
      <x:c r="G68" s="261"/>
      <x:c r="H68" s="261"/>
      <x:c r="I68" s="261"/>
      <x:c r="J68" s="261"/>
      <x:c r="K68" s="261"/>
      <x:c r="L68" s="261"/>
      <x:c r="M68" s="261"/>
    </x:row>
    <x:row r="69" ht="15" hidden="0" customHeight="1">
      <x:c r="A69" s="22"/>
      <x:c r="B69" s="29"/>
      <x:c r="C69" s="261"/>
      <x:c r="D69" s="261"/>
      <x:c r="E69" s="261"/>
      <x:c r="F69" s="261"/>
      <x:c r="G69" s="261"/>
      <x:c r="H69" s="261"/>
      <x:c r="I69" s="261"/>
      <x:c r="J69" s="261"/>
      <x:c r="K69" s="261"/>
      <x:c r="L69" s="261"/>
      <x:c r="M69" s="261"/>
    </x:row>
    <x:row r="70" ht="15" hidden="0" customHeight="1">
      <x:c r="A70" s="22"/>
      <x:c r="B70" s="29"/>
      <x:c r="C70" s="261"/>
      <x:c r="D70" s="261"/>
      <x:c r="E70" s="261"/>
      <x:c r="F70" s="261"/>
      <x:c r="G70" s="261"/>
      <x:c r="H70" s="261"/>
      <x:c r="I70" s="261"/>
      <x:c r="J70" s="261"/>
      <x:c r="K70" s="261"/>
      <x:c r="L70" s="261"/>
      <x:c r="M70" s="261"/>
    </x:row>
    <x:row r="71" ht="15" hidden="0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</x:row>
    <x:row r="72" ht="15" hidden="0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</x:row>
  </x:sheetData>
  <x:mergeCells>
    <x:mergeCell ref="A1:M2"/>
    <x:mergeCell ref="A3:M3"/>
    <x:mergeCell ref="B5:C5"/>
    <x:mergeCell ref="E5:F5"/>
    <x:mergeCell ref="H5:I5"/>
    <x:mergeCell ref="A7:M7"/>
    <x:mergeCell ref="A31:M31"/>
    <x:mergeCell ref="A32:M32"/>
  </x:mergeCells>
  <x:conditionalFormatting sqref="I35:L70">
    <x:cfRule type="containsText" dxfId="324" priority="1" operator="containsText" text="قرمز"/>
    <x:cfRule type="containsText" dxfId="325" priority="2" operator="containsText" text="بحرانی"/>
    <x:cfRule type="containsText" dxfId="326" priority="3" operator="containsText" text="رد"/>
    <x:cfRule type="containsText" dxfId="327" priority="4" operator="containsText" text="متوقف"/>
    <x:cfRule type="containsText" dxfId="328" priority="5" operator="containsText" text="عقب‌افتاده"/>
    <x:cfRule type="containsText" dxfId="329" priority="6" operator="containsText" text="نامعتبر"/>
    <x:cfRule type="containsText" dxfId="330" priority="7" operator="containsText" text="زرد"/>
    <x:cfRule type="containsText" dxfId="331" priority="8" operator="containsText" text="باز"/>
    <x:cfRule type="containsText" dxfId="332" priority="9" operator="containsText" text="نیازمند اصلاح"/>
    <x:cfRule type="containsText" dxfId="333" priority="10" operator="containsText" text="در انتظار"/>
    <x:cfRule type="containsText" dxfId="334" priority="11" operator="containsText" text="نمونه آموزشی"/>
    <x:cfRule type="containsText" dxfId="335" priority="12" operator="containsText" text="سبز"/>
    <x:cfRule type="containsText" dxfId="336" priority="13" operator="containsText" text="بسته"/>
    <x:cfRule type="containsText" dxfId="337" priority="14" operator="containsText" text="تأیید"/>
    <x:cfRule type="containsText" dxfId="338" priority="15" operator="containsText" text="آزادشده"/>
    <x:cfRule type="containsText" dxfId="339" priority="16" operator="containsText" text="انجام‌شده"/>
    <x:cfRule type="containsText" dxfId="340" priority="17" operator="containsText" text="خاکستری"/>
    <x:cfRule type="containsText" dxfId="341" priority="18" operator="containsText" text="نابالغ"/>
    <x:cfRule type="containsText" dxfId="342" priority="19" operator="containsText" text="پنجره کامل نشده"/>
    <x:cfRule type="containsText" dxfId="343" priority="20" operator="containsText" text="n.a."/>
  </x:conditionalFormatting>
  <x:dataValidations count="3">
    <x:dataValidation type="list" sqref="I35:I70">
      <x:formula1>"خیر,بله,در بررسی"</x:formula1>
    </x:dataValidation>
    <x:dataValidation type="list" sqref="J35:J70">
      <x:formula1>"خیر,بله,در بررسی"</x:formula1>
    </x:dataValidation>
    <x:dataValidation type="list" sqref="L35:L70">
      <x:formula1>"باز,در حال اجرا,در انتظار داده,بسته,لغو"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3" ySplit="13" topLeftCell="D14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21" hidden="0" customWidth="1"/>
    <x:col min="4" max="4" width="13" hidden="0" customWidth="1"/>
    <x:col min="5" max="5" width="16" hidden="0" customWidth="1"/>
    <x:col min="6" max="6" width="16" hidden="0" customWidth="1"/>
    <x:col min="7" max="7" width="14" hidden="0" customWidth="1"/>
    <x:col min="8" max="8" width="18" hidden="0" customWidth="1"/>
    <x:col min="9" max="9" width="14" hidden="0" customWidth="1"/>
    <x:col min="10" max="10" width="14" hidden="0" customWidth="1"/>
    <x:col min="11" max="11" width="16" hidden="0" customWidth="1"/>
    <x:col min="12" max="12" width="16" hidden="0" customWidth="1"/>
    <x:col min="13" max="13" width="18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5" hidden="0" customWidth="1"/>
    <x:col min="21" max="21" width="15" hidden="0" customWidth="1"/>
    <x:col min="22" max="22" width="13" hidden="0" customWidth="1"/>
    <x:col min="23" max="23" width="17" hidden="0" customWidth="1"/>
    <x:col min="24" max="24" width="18" hidden="0" customWidth="1"/>
    <x:col min="25" max="25" width="14" hidden="0" customWidth="1"/>
  </x:cols>
  <x:sheetData>
    <x:row r="1" ht="34" customHeight="1">
      <x:c r="A1" s="7" t="str">
        <x:v>T07 | قیف فروش و آزمایش‌ها</x:v>
      </x:c>
      <x:c r="B1" s="7" t="str">
        <x:v>T07 | قیف فروش و آزمایش‌ها</x:v>
      </x:c>
      <x:c r="C1" s="7" t="str">
        <x:v>T07 | قیف فروش و آزمایش‌ها</x:v>
      </x:c>
      <x:c r="D1" s="7" t="str">
        <x:v>T07 | قیف فروش و آزمایش‌ها</x:v>
      </x:c>
      <x:c r="E1" s="7" t="str">
        <x:v>T07 | قیف فروش و آزمایش‌ها</x:v>
      </x:c>
      <x:c r="F1" s="7" t="str">
        <x:v>T07 | قیف فروش و آزمایش‌ها</x:v>
      </x:c>
      <x:c r="G1" s="7" t="str">
        <x:v>T07 | قیف فروش و آزمایش‌ها</x:v>
      </x:c>
      <x:c r="H1" s="7" t="str">
        <x:v>T07 | قیف فروش و آزمایش‌ها</x:v>
      </x:c>
      <x:c r="I1" s="7" t="str">
        <x:v>T07 | قیف فروش و آزمایش‌ها</x:v>
      </x:c>
      <x:c r="J1" s="7" t="str">
        <x:v>T07 | قیف فروش و آزمایش‌ها</x:v>
      </x:c>
      <x:c r="K1" s="7" t="str">
        <x:v>T07 | قیف فروش و آزمایش‌ها</x:v>
      </x:c>
      <x:c r="L1" s="7" t="str">
        <x:v>T07 | قیف فروش و آزمایش‌ها</x:v>
      </x:c>
      <x:c r="M1" s="7" t="str">
        <x:v>T07 | قیف فروش و آزمایش‌ها</x:v>
      </x:c>
      <x:c r="N1" s="7" t="str">
        <x:v>T07 | قیف فروش و آزمایش‌ها</x:v>
      </x:c>
      <x:c r="O1" s="7" t="str">
        <x:v>T07 | قیف فروش و آزمایش‌ها</x:v>
      </x:c>
      <x:c r="P1" s="7" t="str">
        <x:v>T07 | قیف فروش و آزمایش‌ها</x:v>
      </x:c>
      <x:c r="Q1" s="7" t="str">
        <x:v>T07 | قیف فروش و آزمایش‌ها</x:v>
      </x:c>
      <x:c r="R1" s="7" t="str">
        <x:v>T07 | قیف فروش و آزمایش‌ها</x:v>
      </x:c>
      <x:c r="S1" s="7" t="str">
        <x:v>T07 | قیف فروش و آزمایش‌ها</x:v>
      </x:c>
      <x:c r="T1" s="7" t="str">
        <x:v>T07 | قیف فروش و آزمایش‌ها</x:v>
      </x:c>
      <x:c r="U1" s="7" t="str">
        <x:v>T07 | قیف فروش و آزمایش‌ها</x:v>
      </x:c>
      <x:c r="V1" s="7" t="str">
        <x:v>T07 | قیف فروش و آزمایش‌ها</x:v>
      </x:c>
      <x:c r="W1" s="7" t="str">
        <x:v>T07 | قیف فروش و آزمایش‌ها</x:v>
      </x:c>
      <x:c r="X1" s="7" t="str">
        <x:v>T07 | قیف فروش و آزمایش‌ها</x:v>
      </x:c>
      <x:c r="Y1" s="7" t="str">
        <x:v>T07 | قیف فروش و آزمایش‌ها</x:v>
      </x:c>
    </x:row>
    <x:row r="2" ht="34" customHeight="1">
      <x:c r="A2" s="7" t="str">
        <x:v>T07 | قیف فروش و آزمایش‌ها</x:v>
      </x:c>
      <x:c r="B2" s="7" t="str">
        <x:v>T07 | قیف فروش و آزمایش‌ها</x:v>
      </x:c>
      <x:c r="C2" s="7" t="str">
        <x:v>T07 | قیف فروش و آزمایش‌ها</x:v>
      </x:c>
      <x:c r="D2" s="7" t="str">
        <x:v>T07 | قیف فروش و آزمایش‌ها</x:v>
      </x:c>
      <x:c r="E2" s="7" t="str">
        <x:v>T07 | قیف فروش و آزمایش‌ها</x:v>
      </x:c>
      <x:c r="F2" s="7" t="str">
        <x:v>T07 | قیف فروش و آزمایش‌ها</x:v>
      </x:c>
      <x:c r="G2" s="7" t="str">
        <x:v>T07 | قیف فروش و آزمایش‌ها</x:v>
      </x:c>
      <x:c r="H2" s="7" t="str">
        <x:v>T07 | قیف فروش و آزمایش‌ها</x:v>
      </x:c>
      <x:c r="I2" s="7" t="str">
        <x:v>T07 | قیف فروش و آزمایش‌ها</x:v>
      </x:c>
      <x:c r="J2" s="7" t="str">
        <x:v>T07 | قیف فروش و آزمایش‌ها</x:v>
      </x:c>
      <x:c r="K2" s="7" t="str">
        <x:v>T07 | قیف فروش و آزمایش‌ها</x:v>
      </x:c>
      <x:c r="L2" s="7" t="str">
        <x:v>T07 | قیف فروش و آزمایش‌ها</x:v>
      </x:c>
      <x:c r="M2" s="7" t="str">
        <x:v>T07 | قیف فروش و آزمایش‌ها</x:v>
      </x:c>
      <x:c r="N2" s="7" t="str">
        <x:v>T07 | قیف فروش و آزمایش‌ها</x:v>
      </x:c>
      <x:c r="O2" s="7" t="str">
        <x:v>T07 | قیف فروش و آزمایش‌ها</x:v>
      </x:c>
      <x:c r="P2" s="7" t="str">
        <x:v>T07 | قیف فروش و آزمایش‌ها</x:v>
      </x:c>
      <x:c r="Q2" s="7" t="str">
        <x:v>T07 | قیف فروش و آزمایش‌ها</x:v>
      </x:c>
      <x:c r="R2" s="7" t="str">
        <x:v>T07 | قیف فروش و آزمایش‌ها</x:v>
      </x:c>
      <x:c r="S2" s="7" t="str">
        <x:v>T07 | قیف فروش و آزمایش‌ها</x:v>
      </x:c>
      <x:c r="T2" s="7" t="str">
        <x:v>T07 | قیف فروش و آزمایش‌ها</x:v>
      </x:c>
      <x:c r="U2" s="7" t="str">
        <x:v>T07 | قیف فروش و آزمایش‌ها</x:v>
      </x:c>
      <x:c r="V2" s="7" t="str">
        <x:v>T07 | قیف فروش و آزمایش‌ها</x:v>
      </x:c>
      <x:c r="W2" s="7" t="str">
        <x:v>T07 | قیف فروش و آزمایش‌ها</x:v>
      </x:c>
      <x:c r="X2" s="7" t="str">
        <x:v>T07 | قیف فروش و آزمایش‌ها</x:v>
      </x:c>
      <x:c r="Y2" s="7" t="str">
        <x:v>T07 | قیف فروش و آزمایش‌ها</x:v>
      </x:c>
    </x:row>
    <x:row r="3" ht="15" hidden="0" customHeight="1">
      <x:c r="A3" s="89" t="str">
        <x:v>هر نرخ فقط با مخرج روشن معنا دارد. سفارش، پرداخت و تحویل مرحله‌های جدا هستند. ROAS بدون CM2 و مرجوعی مجوز افزایش بودجه نیست.</x:v>
      </x:c>
      <x:c r="B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C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D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E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F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G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H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I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J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K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L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M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N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O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P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Q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R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S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T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U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V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W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X3" s="90" t="str">
        <x:v>هر نرخ فقط با مخرج روشن معنا دارد. سفارش، پرداخت و تحویل مرحله‌های جدا هستند. ROAS بدون CM2 و مرجوعی مجوز افزایش بودجه نیست.</x:v>
      </x:c>
      <x:c r="Y3" s="91" t="str">
        <x:v>هر نرخ فقط با مخرج روشن معنا دارد. سفارش، پرداخت و تحویل مرحله‌های جدا هستند. ROAS بدون CM2 و مرجوعی مجوز افزایش بودجه نیست.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</x:row>
    <x:row r="5" ht="24" hidden="0" customHeight="1">
      <x:c r="A5" s="96" t="str">
        <x:v>نرخ تبدیل کل</x:v>
      </x:c>
      <x:c r="B5" s="136" t="n">
        <x:f>IF(SUM($D$14:$D$33)=0,"n.a.",SUM($H$14:$H$33)/SUM($D$14:$D$33))</x:f>
        <x:v>0.019927525557552367</x:v>
      </x:c>
      <x:c r="C5" s="96" t="str"/>
      <x:c r="D5" s="96" t="str">
        <x:v>بزرگ‌ترین نشتی</x:v>
      </x:c>
      <x:c r="E5" s="96" t="str">
        <x:f>IF(SUM($D$14:$D$33)=0,"n.a.",IF(B10=MAX(B10:F10),"بازدید به مشاهده محصول",IF(C10=MAX(B10:F10),"مشاهده محصول به سبد",IF(D10=MAX(B10:F10),"سبد به تسویه",IF(E10=MAX(B10:F10),"تسویه به پرداخت","پرداخت به تحویل")))))</x:f>
        <x:v>مشاهده محصول به سبد</x:v>
      </x:c>
      <x:c r="F5" s="96" t="str"/>
      <x:c r="G5" s="96" t="str"/>
      <x:c r="H5" s="96" t="str">
        <x:v>نرخ نشتی</x:v>
      </x:c>
      <x:c r="I5" s="136" t="n">
        <x:f>IF(SUM($D$14:$D$33)=0,"n.a.",MAX(B10:F10))</x:f>
        <x:v>0.8799987595168318</x:v>
      </x:c>
      <x:c r="J5" s="96" t="str"/>
      <x:c r="K5" s="96" t="str">
        <x:v>آزمایش فعال</x:v>
      </x:c>
      <x:c r="L5" s="97" t="n">
        <x:f>COUNTIFS($J$39:$J$56,"در حال اجرا")</x:f>
        <x:v>1</x:v>
      </x:c>
      <x:c r="M5" s="96" t="str"/>
      <x:c r="N5" s="96" t="str">
        <x:v>اختلاف سفارش با مالی</x:v>
      </x:c>
      <x:c r="O5" s="97" t="n">
        <x:f>SUM($X$14:$X$33)</x:f>
        <x:v>0</x:v>
      </x:c>
      <x:c r="P5" s="96" t="str"/>
      <x:c r="Q5" s="96" t="str"/>
      <x:c r="R5" s="3"/>
      <x:c r="S5" s="3"/>
      <x:c r="T5" s="3"/>
      <x:c r="U5" s="3"/>
      <x:c r="V5" s="3"/>
      <x:c r="W5" s="3"/>
      <x:c r="X5" s="3"/>
      <x:c r="Y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</x:row>
    <x:row r="8" ht="15" hidden="0" customHeight="1">
      <x:c r="A8" s="41" t="str">
        <x:v>بازدید</x:v>
      </x:c>
      <x:c r="B8" s="41" t="str">
        <x:v>مشاهده محصول</x:v>
      </x:c>
      <x:c r="C8" s="41" t="str">
        <x:v>افزودن به سبد</x:v>
      </x:c>
      <x:c r="D8" s="41" t="str">
        <x:v>شروع تسویه</x:v>
      </x:c>
      <x:c r="E8" s="41" t="str">
        <x:v>سفارش پرداخت‌شده</x:v>
      </x:c>
      <x:c r="F8" s="41" t="str">
        <x:v>تحویل‌شده</x:v>
      </x:c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  <x:c r="W8" s="3"/>
      <x:c r="X8" s="3"/>
      <x:c r="Y8" s="3"/>
    </x:row>
    <x:row r="9" ht="15" hidden="0" customHeight="1">
      <x:c r="A9" s="128" t="n">
        <x:f>SUM($D$14:$D$33)</x:f>
        <x:v>169715</x:v>
      </x:c>
      <x:c r="B9" s="128" t="n">
        <x:f>SUM($E$14:$E$33)</x:f>
        <x:v>128982</x:v>
      </x:c>
      <x:c r="C9" s="128" t="n">
        <x:f>SUM($F$14:$F$33)</x:f>
        <x:v>15478</x:v>
      </x:c>
      <x:c r="D9" s="128" t="n">
        <x:f>SUM($G$14:$G$33)</x:f>
        <x:v>10834</x:v>
      </x:c>
      <x:c r="E9" s="128" t="n">
        <x:f>SUM($H$14:$H$33)</x:f>
        <x:v>3382</x:v>
      </x:c>
      <x:c r="F9" s="128" t="n">
        <x:f>SUM($I$14:$I$33)</x:f>
        <x:v>3314</x:v>
      </x:c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  <x:c r="W9" s="3"/>
      <x:c r="X9" s="3"/>
      <x:c r="Y9" s="3"/>
    </x:row>
    <x:row r="10" ht="15" hidden="0" customHeight="1">
      <x:c r="A10" s="139" t="str"/>
      <x:c r="B10" s="139" t="n">
        <x:f>IF(A9=0,"n.a.",1-B9/A9)</x:f>
        <x:v>0.24000824912353058</x:v>
      </x:c>
      <x:c r="C10" s="139" t="n">
        <x:f>IF(B9=0,"n.a.",1-C9/B9)</x:f>
        <x:v>0.8799987595168318</x:v>
      </x:c>
      <x:c r="D10" s="139" t="n">
        <x:f>IF(C9=0,"n.a.",1-D9/C9)</x:f>
        <x:v>0.3000387646982814</x:v>
      </x:c>
      <x:c r="E10" s="139" t="n">
        <x:f>IF(D9=0,"n.a.",1-E9/D9)</x:f>
        <x:v>0.6878345947941665</x:v>
      </x:c>
      <x:c r="F10" s="139" t="n">
        <x:f>IF(E9=0,"n.a.",1-F9/E9)</x:f>
        <x:v>0.020106445890005875</x:v>
      </x:c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  <x:c r="V10" s="3"/>
      <x:c r="W10" s="3"/>
      <x:c r="X10" s="3"/>
      <x:c r="Y10" s="3"/>
    </x:row>
    <x:row r="11" ht="15" hidden="0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  <x:c r="V11" s="3"/>
      <x:c r="W11" s="3"/>
      <x:c r="X11" s="3"/>
      <x:c r="Y11" s="3"/>
    </x:row>
    <x:row r="12" ht="15" hidden="0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  <x:c r="T12" s="3"/>
      <x:c r="U12" s="3"/>
      <x:c r="V12" s="3"/>
      <x:c r="W12" s="3"/>
      <x:c r="X12" s="3"/>
      <x:c r="Y12" s="3"/>
    </x:row>
    <x:row r="13" ht="15" hidden="0" customHeight="1">
      <x:c r="A13" s="41" t="str">
        <x:v>ماه</x:v>
      </x:c>
      <x:c r="B13" s="41" t="str">
        <x:v>کمپین / آزمایش</x:v>
      </x:c>
      <x:c r="C13" s="41" t="str">
        <x:v>کانال</x:v>
      </x:c>
      <x:c r="D13" s="41" t="str">
        <x:v>بازدید</x:v>
      </x:c>
      <x:c r="E13" s="41" t="str">
        <x:v>مشاهده محصول</x:v>
      </x:c>
      <x:c r="F13" s="41" t="str">
        <x:v>افزودن به سبد</x:v>
      </x:c>
      <x:c r="G13" s="41" t="str">
        <x:v>شروع تسویه</x:v>
      </x:c>
      <x:c r="H13" s="41" t="str">
        <x:v>سفارش پرداخت‌شده</x:v>
      </x:c>
      <x:c r="I13" s="41" t="str">
        <x:v>تحویل‌شده</x:v>
      </x:c>
      <x:c r="J13" s="41" t="str">
        <x:v>مشتری جدید</x:v>
      </x:c>
      <x:c r="K13" s="41" t="str">
        <x:v>هزینه جذب</x:v>
      </x:c>
      <x:c r="L13" s="41" t="str">
        <x:v>فروش خالص</x:v>
      </x:c>
      <x:c r="M13" s="41" t="str">
        <x:v>CM1 قابل انتساب</x:v>
      </x:c>
      <x:c r="N13" s="41" t="str">
        <x:v>نرخ مشاهده</x:v>
      </x:c>
      <x:c r="O13" s="41" t="str">
        <x:v>نرخ سبد</x:v>
      </x:c>
      <x:c r="P13" s="41" t="str">
        <x:v>نرخ تسویه</x:v>
      </x:c>
      <x:c r="Q13" s="41" t="str">
        <x:v>نرخ پرداخت</x:v>
      </x:c>
      <x:c r="R13" s="41" t="str">
        <x:v>نرخ تحویل</x:v>
      </x:c>
      <x:c r="S13" s="41" t="str">
        <x:v>تبدیل کل</x:v>
      </x:c>
      <x:c r="T13" s="41" t="str">
        <x:v>CAC</x:v>
      </x:c>
      <x:c r="U13" s="41" t="str">
        <x:v>AOV</x:v>
      </x:c>
      <x:c r="V13" s="41" t="str">
        <x:v>ROAS</x:v>
      </x:c>
      <x:c r="W13" s="41" t="str">
        <x:v>CM2 افزایشی</x:v>
      </x:c>
      <x:c r="X13" s="41" t="str">
        <x:v>اختلاف سفارش با مالی</x:v>
      </x:c>
      <x:c r="Y13" s="41" t="str">
        <x:v>وضعیت</x:v>
      </x:c>
    </x:row>
    <x:row r="14" ht="15" hidden="0" customHeight="1">
      <x:c r="A14" s="81" t="n">
        <x:v>46266</x:v>
      </x:c>
      <x:c r="B14" s="261" t="str">
        <x:v>DEMO-CMP-01</x:v>
      </x:c>
      <x:c r="C14" s="261" t="str">
        <x:v>فروشگاه آنلاین</x:v>
      </x:c>
      <x:c r="D14" s="30" t="n">
        <x:v>9579</x:v>
      </x:c>
      <x:c r="E14" s="30" t="n">
        <x:v>7280</x:v>
      </x:c>
      <x:c r="F14" s="30" t="n">
        <x:v>874</x:v>
      </x:c>
      <x:c r="G14" s="30" t="n">
        <x:v>612</x:v>
      </x:c>
      <x:c r="H14" s="30" t="n">
        <x:v>182</x:v>
      </x:c>
      <x:c r="I14" s="30" t="n">
        <x:v>178</x:v>
      </x:c>
      <x:c r="J14" s="30" t="n">
        <x:v>127</x:v>
      </x:c>
      <x:c r="K14" s="30" t="n">
        <x:v>24000000</x:v>
      </x:c>
      <x:c r="L14" s="30" t="n">
        <x:v>180000000</x:v>
      </x:c>
      <x:c r="M14" s="30" t="n">
        <x:v>56000000</x:v>
      </x:c>
      <x:c r="N14" s="83" t="n">
        <x:f>IF(OR($B14="",D14=0),"n.a.",E14/D14)</x:f>
        <x:v>0.7599958241987681</x:v>
      </x:c>
      <x:c r="O14" s="83" t="n">
        <x:f>IF(OR($B14="",E14=0),"n.a.",F14/E14)</x:f>
        <x:v>0.12005494505494506</x:v>
      </x:c>
      <x:c r="P14" s="83" t="n">
        <x:f>IF(OR($B14="",F14=0),"n.a.",G14/F14)</x:f>
        <x:v>0.700228832951945</x:v>
      </x:c>
      <x:c r="Q14" s="83" t="n">
        <x:f>IF(OR($B14="",G14=0),"n.a.",H14/G14)</x:f>
        <x:v>0.2973856209150327</x:v>
      </x:c>
      <x:c r="R14" s="83" t="n">
        <x:f>IF(OR($B14="",H14=0),"n.a.",I14/H14)</x:f>
        <x:v>0.978021978021978</x:v>
      </x:c>
      <x:c r="S14" s="83" t="n">
        <x:f>IF(OR($B14="",D14=0),"n.a.",H14/D14)</x:f>
        <x:v>0.018999895604969202</x:v>
      </x:c>
      <x:c r="T14" s="82" t="n">
        <x:f>IF(OR($B14="",J14=0),"n.a.",K14/J14)</x:f>
        <x:v>188976.3779527559</x:v>
      </x:c>
      <x:c r="U14" s="82" t="n">
        <x:f>IF(OR($B14="",H14=0),"n.a.",L14/H14)</x:f>
        <x:v>989010.989010989</x:v>
      </x:c>
      <x:c r="V14" s="142" t="n">
        <x:f>IF(OR($B14="",K14=0),"n.a.",L14/K14)</x:f>
        <x:v>7.5</x:v>
      </x:c>
      <x:c r="W14" s="82" t="n">
        <x:f>IF($B14="","",M14-K14)</x:f>
        <x:v>32000000</x:v>
      </x:c>
      <x:c r="X14" s="143" t="n">
        <x:f>IF($B14="","",H14-SUMIFS('محصول و کانال'!$K$9:$K$88,'محصول و کانال'!$B$9:$B$88,A14,'محصول و کانال'!$F$9:$F$88,C14))</x:f>
        <x:v>0</x:v>
      </x:c>
      <x:c r="Y14" s="16" t="str">
        <x:f>IF($B14="","",IF(H14&lt;30,"خاکستری",IF(AND(S14&gt;='فرض‌ها و منابع'!$B$19,T14&lt;='فرض‌ها و منابع'!$B$14,W14&gt;0),"سبز",IF(OR(W14&lt;0,T14&gt;'فرض‌ها و منابع'!$B$14*1.25),"قرمز","زرد"))))</x:f>
        <x:v>قرمز</x:v>
      </x:c>
    </x:row>
    <x:row r="15" ht="15" hidden="0" customHeight="1">
      <x:c r="A15" s="81" t="n">
        <x:v>46296</x:v>
      </x:c>
      <x:c r="B15" s="261" t="str">
        <x:v>DEMO-CMP-02</x:v>
      </x:c>
      <x:c r="C15" s="261" t="str">
        <x:v>فروشگاه آنلاین</x:v>
      </x:c>
      <x:c r="D15" s="30" t="n">
        <x:v>10444</x:v>
      </x:c>
      <x:c r="E15" s="30" t="n">
        <x:v>7937</x:v>
      </x:c>
      <x:c r="F15" s="30" t="n">
        <x:v>952</x:v>
      </x:c>
      <x:c r="G15" s="30" t="n">
        <x:v>666</x:v>
      </x:c>
      <x:c r="H15" s="30" t="n">
        <x:v>200</x:v>
      </x:c>
      <x:c r="I15" s="30" t="n">
        <x:v>196</x:v>
      </x:c>
      <x:c r="J15" s="30" t="n">
        <x:v>140</x:v>
      </x:c>
      <x:c r="K15" s="30" t="n">
        <x:v>26400000</x:v>
      </x:c>
      <x:c r="L15" s="30" t="n">
        <x:v>198000000</x:v>
      </x:c>
      <x:c r="M15" s="30" t="n">
        <x:v>61600000</x:v>
      </x:c>
      <x:c r="N15" s="83" t="n">
        <x:f>IF(OR($B15="",D15=0),"n.a.",E15/D15)</x:f>
        <x:v>0.7599578705476829</x:v>
      </x:c>
      <x:c r="O15" s="83" t="n">
        <x:f>IF(OR($B15="",E15=0),"n.a.",F15/E15)</x:f>
        <x:v>0.1199445634370669</x:v>
      </x:c>
      <x:c r="P15" s="83" t="n">
        <x:f>IF(OR($B15="",F15=0),"n.a.",G15/F15)</x:f>
        <x:v>0.6995798319327731</x:v>
      </x:c>
      <x:c r="Q15" s="83" t="n">
        <x:f>IF(OR($B15="",G15=0),"n.a.",H15/G15)</x:f>
        <x:v>0.3003003003003003</x:v>
      </x:c>
      <x:c r="R15" s="83" t="n">
        <x:f>IF(OR($B15="",H15=0),"n.a.",I15/H15)</x:f>
        <x:v>0.98</x:v>
      </x:c>
      <x:c r="S15" s="83" t="n">
        <x:f>IF(OR($B15="",D15=0),"n.a.",H15/D15)</x:f>
        <x:v>0.019149751053236307</x:v>
      </x:c>
      <x:c r="T15" s="82" t="n">
        <x:f>IF(OR($B15="",J15=0),"n.a.",K15/J15)</x:f>
        <x:v>188571.42857142858</x:v>
      </x:c>
      <x:c r="U15" s="82" t="n">
        <x:f>IF(OR($B15="",H15=0),"n.a.",L15/H15)</x:f>
        <x:v>990000</x:v>
      </x:c>
      <x:c r="V15" s="142" t="n">
        <x:f>IF(OR($B15="",K15=0),"n.a.",L15/K15)</x:f>
        <x:v>7.5</x:v>
      </x:c>
      <x:c r="W15" s="82" t="n">
        <x:f>IF($B15="","",M15-K15)</x:f>
        <x:v>35200000</x:v>
      </x:c>
      <x:c r="X15" s="143" t="n">
        <x:f>IF($B15="","",H15-SUMIFS('محصول و کانال'!$K$9:$K$88,'محصول و کانال'!$B$9:$B$88,A15,'محصول و کانال'!$F$9:$F$88,C15))</x:f>
        <x:v>0</x:v>
      </x:c>
      <x:c r="Y15" s="16" t="str">
        <x:f>IF($B15="","",IF(H15&lt;30,"خاکستری",IF(AND(S15&gt;='فرض‌ها و منابع'!$B$19,T15&lt;='فرض‌ها و منابع'!$B$14,W15&gt;0),"سبز",IF(OR(W15&lt;0,T15&gt;'فرض‌ها و منابع'!$B$14*1.25),"قرمز","زرد"))))</x:f>
        <x:v>قرمز</x:v>
      </x:c>
    </x:row>
    <x:row r="16" ht="15" hidden="0" customHeight="1">
      <x:c r="A16" s="81" t="n">
        <x:v>46327</x:v>
      </x:c>
      <x:c r="B16" s="261" t="str">
        <x:v>DEMO-CMP-03</x:v>
      </x:c>
      <x:c r="C16" s="261" t="str">
        <x:v>فروشگاه آنلاین</x:v>
      </x:c>
      <x:c r="D16" s="30" t="n">
        <x:v>11295</x:v>
      </x:c>
      <x:c r="E16" s="30" t="n">
        <x:v>8584</x:v>
      </x:c>
      <x:c r="F16" s="30" t="n">
        <x:v>1030</x:v>
      </x:c>
      <x:c r="G16" s="30" t="n">
        <x:v>721</x:v>
      </x:c>
      <x:c r="H16" s="30" t="n">
        <x:v>218</x:v>
      </x:c>
      <x:c r="I16" s="30" t="n">
        <x:v>214</x:v>
      </x:c>
      <x:c r="J16" s="30" t="n">
        <x:v>153</x:v>
      </x:c>
      <x:c r="K16" s="30" t="n">
        <x:v>28800000</x:v>
      </x:c>
      <x:c r="L16" s="30" t="n">
        <x:v>216000000</x:v>
      </x:c>
      <x:c r="M16" s="30" t="n">
        <x:v>67200000</x:v>
      </x:c>
      <x:c r="N16" s="83" t="n">
        <x:f>IF(OR($B16="",D16=0),"n.a.",E16/D16)</x:f>
        <x:v>0.7599822930500222</x:v>
      </x:c>
      <x:c r="O16" s="83" t="n">
        <x:f>IF(OR($B16="",E16=0),"n.a.",F16/E16)</x:f>
        <x:v>0.11999068033550792</x:v>
      </x:c>
      <x:c r="P16" s="83" t="n">
        <x:f>IF(OR($B16="",F16=0),"n.a.",G16/F16)</x:f>
        <x:v>0.7</x:v>
      </x:c>
      <x:c r="Q16" s="83" t="n">
        <x:f>IF(OR($B16="",G16=0),"n.a.",H16/G16)</x:f>
        <x:v>0.30235783633841884</x:v>
      </x:c>
      <x:c r="R16" s="83" t="n">
        <x:f>IF(OR($B16="",H16=0),"n.a.",I16/H16)</x:f>
        <x:v>0.981651376146789</x:v>
      </x:c>
      <x:c r="S16" s="83" t="n">
        <x:f>IF(OR($B16="",D16=0),"n.a.",H16/D16)</x:f>
        <x:v>0.01930057547587428</x:v>
      </x:c>
      <x:c r="T16" s="82" t="n">
        <x:f>IF(OR($B16="",J16=0),"n.a.",K16/J16)</x:f>
        <x:v>188235.29411764705</x:v>
      </x:c>
      <x:c r="U16" s="82" t="n">
        <x:f>IF(OR($B16="",H16=0),"n.a.",L16/H16)</x:f>
        <x:v>990825.6880733945</x:v>
      </x:c>
      <x:c r="V16" s="142" t="n">
        <x:f>IF(OR($B16="",K16=0),"n.a.",L16/K16)</x:f>
        <x:v>7.5</x:v>
      </x:c>
      <x:c r="W16" s="82" t="n">
        <x:f>IF($B16="","",M16-K16)</x:f>
        <x:v>38400000</x:v>
      </x:c>
      <x:c r="X16" s="143" t="n">
        <x:f>IF($B16="","",H16-SUMIFS('محصول و کانال'!$K$9:$K$88,'محصول و کانال'!$B$9:$B$88,A16,'محصول و کانال'!$F$9:$F$88,C16))</x:f>
        <x:v>0</x:v>
      </x:c>
      <x:c r="Y16" s="16" t="str">
        <x:f>IF($B16="","",IF(H16&lt;30,"خاکستری",IF(AND(S16&gt;='فرض‌ها و منابع'!$B$19,T16&lt;='فرض‌ها و منابع'!$B$14,W16&gt;0),"سبز",IF(OR(W16&lt;0,T16&gt;'فرض‌ها و منابع'!$B$14*1.25),"قرمز","زرد"))))</x:f>
        <x:v>قرمز</x:v>
      </x:c>
    </x:row>
    <x:row r="17" ht="15" hidden="0" customHeight="1">
      <x:c r="A17" s="81" t="n">
        <x:v>46357</x:v>
      </x:c>
      <x:c r="B17" s="261" t="str">
        <x:v>DEMO-CMP-04</x:v>
      </x:c>
      <x:c r="C17" s="261" t="str">
        <x:v>فروشگاه آنلاین</x:v>
      </x:c>
      <x:c r="D17" s="30" t="n">
        <x:v>12134</x:v>
      </x:c>
      <x:c r="E17" s="30" t="n">
        <x:v>9222</x:v>
      </x:c>
      <x:c r="F17" s="30" t="n">
        <x:v>1107</x:v>
      </x:c>
      <x:c r="G17" s="30" t="n">
        <x:v>775</x:v>
      </x:c>
      <x:c r="H17" s="30" t="n">
        <x:v>236</x:v>
      </x:c>
      <x:c r="I17" s="30" t="n">
        <x:v>231</x:v>
      </x:c>
      <x:c r="J17" s="30" t="n">
        <x:v>165</x:v>
      </x:c>
      <x:c r="K17" s="30" t="n">
        <x:v>31200000</x:v>
      </x:c>
      <x:c r="L17" s="30" t="n">
        <x:v>234000000</x:v>
      </x:c>
      <x:c r="M17" s="30" t="n">
        <x:v>72800000</x:v>
      </x:c>
      <x:c r="N17" s="83" t="n">
        <x:f>IF(OR($B17="",D17=0),"n.a.",E17/D17)</x:f>
        <x:v>0.7600131860886764</x:v>
      </x:c>
      <x:c r="O17" s="83" t="n">
        <x:f>IF(OR($B17="",E17=0),"n.a.",F17/E17)</x:f>
        <x:v>0.12003903708523098</x:v>
      </x:c>
      <x:c r="P17" s="83" t="n">
        <x:f>IF(OR($B17="",F17=0),"n.a.",G17/F17)</x:f>
        <x:v>0.7000903342366757</x:v>
      </x:c>
      <x:c r="Q17" s="83" t="n">
        <x:f>IF(OR($B17="",G17=0),"n.a.",H17/G17)</x:f>
        <x:v>0.30451612903225805</x:v>
      </x:c>
      <x:c r="R17" s="83" t="n">
        <x:f>IF(OR($B17="",H17=0),"n.a.",I17/H17)</x:f>
        <x:v>0.9788135593220338</x:v>
      </x:c>
      <x:c r="S17" s="83" t="n">
        <x:f>IF(OR($B17="",D17=0),"n.a.",H17/D17)</x:f>
        <x:v>0.019449480797758364</x:v>
      </x:c>
      <x:c r="T17" s="82" t="n">
        <x:f>IF(OR($B17="",J17=0),"n.a.",K17/J17)</x:f>
        <x:v>189090.9090909091</x:v>
      </x:c>
      <x:c r="U17" s="82" t="n">
        <x:f>IF(OR($B17="",H17=0),"n.a.",L17/H17)</x:f>
        <x:v>991525.4237288135</x:v>
      </x:c>
      <x:c r="V17" s="142" t="n">
        <x:f>IF(OR($B17="",K17=0),"n.a.",L17/K17)</x:f>
        <x:v>7.5</x:v>
      </x:c>
      <x:c r="W17" s="82" t="n">
        <x:f>IF($B17="","",M17-K17)</x:f>
        <x:v>41600000</x:v>
      </x:c>
      <x:c r="X17" s="143" t="n">
        <x:f>IF($B17="","",H17-SUMIFS('محصول و کانال'!$K$9:$K$88,'محصول و کانال'!$B$9:$B$88,A17,'محصول و کانال'!$F$9:$F$88,C17))</x:f>
        <x:v>0</x:v>
      </x:c>
      <x:c r="Y17" s="16" t="str">
        <x:f>IF($B17="","",IF(H17&lt;30,"خاکستری",IF(AND(S17&gt;='فرض‌ها و منابع'!$B$19,T17&lt;='فرض‌ها و منابع'!$B$14,W17&gt;0),"سبز",IF(OR(W17&lt;0,T17&gt;'فرض‌ها و منابع'!$B$14*1.25),"قرمز","زرد"))))</x:f>
        <x:v>قرمز</x:v>
      </x:c>
    </x:row>
    <x:row r="18" ht="15" hidden="0" customHeight="1">
      <x:c r="A18" s="81" t="n">
        <x:v>46388</x:v>
      </x:c>
      <x:c r="B18" s="261" t="str">
        <x:v>DEMO-CMP-05</x:v>
      </x:c>
      <x:c r="C18" s="261" t="str">
        <x:v>فروشگاه آنلاین</x:v>
      </x:c>
      <x:c r="D18" s="30" t="n">
        <x:v>13010</x:v>
      </x:c>
      <x:c r="E18" s="30" t="n">
        <x:v>9888</x:v>
      </x:c>
      <x:c r="F18" s="30" t="n">
        <x:v>1187</x:v>
      </x:c>
      <x:c r="G18" s="30" t="n">
        <x:v>831</x:v>
      </x:c>
      <x:c r="H18" s="30" t="n">
        <x:v>255</x:v>
      </x:c>
      <x:c r="I18" s="30" t="n">
        <x:v>250</x:v>
      </x:c>
      <x:c r="J18" s="30" t="n">
        <x:v>179</x:v>
      </x:c>
      <x:c r="K18" s="30" t="n">
        <x:v>33600000</x:v>
      </x:c>
      <x:c r="L18" s="30" t="n">
        <x:v>252000000</x:v>
      </x:c>
      <x:c r="M18" s="30" t="n">
        <x:v>78400000</x:v>
      </x:c>
      <x:c r="N18" s="83" t="n">
        <x:f>IF(OR($B18="",D18=0),"n.a.",E18/D18)</x:f>
        <x:v>0.7600307455803228</x:v>
      </x:c>
      <x:c r="O18" s="83" t="n">
        <x:f>IF(OR($B18="",E18=0),"n.a.",F18/E18)</x:f>
        <x:v>0.12004449838187703</x:v>
      </x:c>
      <x:c r="P18" s="83" t="n">
        <x:f>IF(OR($B18="",F18=0),"n.a.",G18/F18)</x:f>
        <x:v>0.7000842459983151</x:v>
      </x:c>
      <x:c r="Q18" s="83" t="n">
        <x:f>IF(OR($B18="",G18=0),"n.a.",H18/G18)</x:f>
        <x:v>0.30685920577617326</x:v>
      </x:c>
      <x:c r="R18" s="83" t="n">
        <x:f>IF(OR($B18="",H18=0),"n.a.",I18/H18)</x:f>
        <x:v>0.9803921568627451</x:v>
      </x:c>
      <x:c r="S18" s="83" t="n">
        <x:f>IF(OR($B18="",D18=0),"n.a.",H18/D18)</x:f>
        <x:v>0.01960030745580323</x:v>
      </x:c>
      <x:c r="T18" s="82" t="n">
        <x:f>IF(OR($B18="",J18=0),"n.a.",K18/J18)</x:f>
        <x:v>187709.4972067039</x:v>
      </x:c>
      <x:c r="U18" s="82" t="n">
        <x:f>IF(OR($B18="",H18=0),"n.a.",L18/H18)</x:f>
        <x:v>988235.2941176471</x:v>
      </x:c>
      <x:c r="V18" s="142" t="n">
        <x:f>IF(OR($B18="",K18=0),"n.a.",L18/K18)</x:f>
        <x:v>7.5</x:v>
      </x:c>
      <x:c r="W18" s="82" t="n">
        <x:f>IF($B18="","",M18-K18)</x:f>
        <x:v>44800000</x:v>
      </x:c>
      <x:c r="X18" s="143" t="n">
        <x:f>IF($B18="","",H18-SUMIFS('محصول و کانال'!$K$9:$K$88,'محصول و کانال'!$B$9:$B$88,A18,'محصول و کانال'!$F$9:$F$88,C18))</x:f>
        <x:v>0</x:v>
      </x:c>
      <x:c r="Y18" s="16" t="str">
        <x:f>IF($B18="","",IF(H18&lt;30,"خاکستری",IF(AND(S18&gt;='فرض‌ها و منابع'!$B$19,T18&lt;='فرض‌ها و منابع'!$B$14,W18&gt;0),"سبز",IF(OR(W18&lt;0,T18&gt;'فرض‌ها و منابع'!$B$14*1.25),"قرمز","زرد"))))</x:f>
        <x:v>قرمز</x:v>
      </x:c>
    </x:row>
    <x:row r="19" ht="15" hidden="0" customHeight="1">
      <x:c r="A19" s="81" t="n">
        <x:v>46419</x:v>
      </x:c>
      <x:c r="B19" s="261" t="str">
        <x:v>DEMO-CMP-06</x:v>
      </x:c>
      <x:c r="C19" s="261" t="str">
        <x:v>فروشگاه آنلاین</x:v>
      </x:c>
      <x:c r="D19" s="30" t="n">
        <x:v>13823</x:v>
      </x:c>
      <x:c r="E19" s="30" t="n">
        <x:v>10505</x:v>
      </x:c>
      <x:c r="F19" s="30" t="n">
        <x:v>1261</x:v>
      </x:c>
      <x:c r="G19" s="30" t="n">
        <x:v>883</x:v>
      </x:c>
      <x:c r="H19" s="30" t="n">
        <x:v>273</x:v>
      </x:c>
      <x:c r="I19" s="30" t="n">
        <x:v>268</x:v>
      </x:c>
      <x:c r="J19" s="30" t="n">
        <x:v>191</x:v>
      </x:c>
      <x:c r="K19" s="30" t="n">
        <x:v>36000000</x:v>
      </x:c>
      <x:c r="L19" s="30" t="n">
        <x:v>270000000</x:v>
      </x:c>
      <x:c r="M19" s="30" t="n">
        <x:v>84000000</x:v>
      </x:c>
      <x:c r="N19" s="83" t="n">
        <x:f>IF(OR($B19="",D19=0),"n.a.",E19/D19)</x:f>
        <x:v>0.7599652752658612</x:v>
      </x:c>
      <x:c r="O19" s="83" t="n">
        <x:f>IF(OR($B19="",E19=0),"n.a.",F19/E19)</x:f>
        <x:v>0.12003807710613994</x:v>
      </x:c>
      <x:c r="P19" s="83" t="n">
        <x:f>IF(OR($B19="",F19=0),"n.a.",G19/F19)</x:f>
        <x:v>0.7002379064234734</x:v>
      </x:c>
      <x:c r="Q19" s="83" t="n">
        <x:f>IF(OR($B19="",G19=0),"n.a.",H19/G19)</x:f>
        <x:v>0.3091732729331823</x:v>
      </x:c>
      <x:c r="R19" s="83" t="n">
        <x:f>IF(OR($B19="",H19=0),"n.a.",I19/H19)</x:f>
        <x:v>0.9816849816849816</x:v>
      </x:c>
      <x:c r="S19" s="83" t="n">
        <x:f>IF(OR($B19="",D19=0),"n.a.",H19/D19)</x:f>
        <x:v>0.01974969254141648</x:v>
      </x:c>
      <x:c r="T19" s="82" t="n">
        <x:f>IF(OR($B19="",J19=0),"n.a.",K19/J19)</x:f>
        <x:v>188481.67539267015</x:v>
      </x:c>
      <x:c r="U19" s="82" t="n">
        <x:f>IF(OR($B19="",H19=0),"n.a.",L19/H19)</x:f>
        <x:v>989010.989010989</x:v>
      </x:c>
      <x:c r="V19" s="142" t="n">
        <x:f>IF(OR($B19="",K19=0),"n.a.",L19/K19)</x:f>
        <x:v>7.5</x:v>
      </x:c>
      <x:c r="W19" s="82" t="n">
        <x:f>IF($B19="","",M19-K19)</x:f>
        <x:v>48000000</x:v>
      </x:c>
      <x:c r="X19" s="143" t="n">
        <x:f>IF($B19="","",H19-SUMIFS('محصول و کانال'!$K$9:$K$88,'محصول و کانال'!$B$9:$B$88,A19,'محصول و کانال'!$F$9:$F$88,C19))</x:f>
        <x:v>0</x:v>
      </x:c>
      <x:c r="Y19" s="16" t="str">
        <x:f>IF($B19="","",IF(H19&lt;30,"خاکستری",IF(AND(S19&gt;='فرض‌ها و منابع'!$B$19,T19&lt;='فرض‌ها و منابع'!$B$14,W19&gt;0),"سبز",IF(OR(W19&lt;0,T19&gt;'فرض‌ها و منابع'!$B$14*1.25),"قرمز","زرد"))))</x:f>
        <x:v>قرمز</x:v>
      </x:c>
    </x:row>
    <x:row r="20" ht="15" hidden="0" customHeight="1">
      <x:c r="A20" s="81" t="n">
        <x:v>46447</x:v>
      </x:c>
      <x:c r="B20" s="261" t="str">
        <x:v>DEMO-CMP-07</x:v>
      </x:c>
      <x:c r="C20" s="261" t="str">
        <x:v>فروشگاه آنلاین</x:v>
      </x:c>
      <x:c r="D20" s="30" t="n">
        <x:v>14623</x:v>
      </x:c>
      <x:c r="E20" s="30" t="n">
        <x:v>11113</x:v>
      </x:c>
      <x:c r="F20" s="30" t="n">
        <x:v>1334</x:v>
      </x:c>
      <x:c r="G20" s="30" t="n">
        <x:v>934</x:v>
      </x:c>
      <x:c r="H20" s="30" t="n">
        <x:v>291</x:v>
      </x:c>
      <x:c r="I20" s="30" t="n">
        <x:v>285</x:v>
      </x:c>
      <x:c r="J20" s="30" t="n">
        <x:v>204</x:v>
      </x:c>
      <x:c r="K20" s="30" t="n">
        <x:v>38400000</x:v>
      </x:c>
      <x:c r="L20" s="30" t="n">
        <x:v>288000000</x:v>
      </x:c>
      <x:c r="M20" s="30" t="n">
        <x:v>89600000</x:v>
      </x:c>
      <x:c r="N20" s="83" t="n">
        <x:f>IF(OR($B20="",D20=0),"n.a.",E20/D20)</x:f>
        <x:v>0.7599671749982904</x:v>
      </x:c>
      <x:c r="O20" s="83" t="n">
        <x:f>IF(OR($B20="",E20=0),"n.a.",F20/E20)</x:f>
        <x:v>0.12003959326914425</x:v>
      </x:c>
      <x:c r="P20" s="83" t="n">
        <x:f>IF(OR($B20="",F20=0),"n.a.",G20/F20)</x:f>
        <x:v>0.7001499250374813</x:v>
      </x:c>
      <x:c r="Q20" s="83" t="n">
        <x:f>IF(OR($B20="",G20=0),"n.a.",H20/G20)</x:f>
        <x:v>0.31156316916488225</x:v>
      </x:c>
      <x:c r="R20" s="83" t="n">
        <x:f>IF(OR($B20="",H20=0),"n.a.",I20/H20)</x:f>
        <x:v>0.979381443298969</x:v>
      </x:c>
      <x:c r="S20" s="83" t="n">
        <x:f>IF(OR($B20="",D20=0),"n.a.",H20/D20)</x:f>
        <x:v>0.019900157286466526</x:v>
      </x:c>
      <x:c r="T20" s="82" t="n">
        <x:f>IF(OR($B20="",J20=0),"n.a.",K20/J20)</x:f>
        <x:v>188235.29411764705</x:v>
      </x:c>
      <x:c r="U20" s="82" t="n">
        <x:f>IF(OR($B20="",H20=0),"n.a.",L20/H20)</x:f>
        <x:v>989690.7216494846</x:v>
      </x:c>
      <x:c r="V20" s="142" t="n">
        <x:f>IF(OR($B20="",K20=0),"n.a.",L20/K20)</x:f>
        <x:v>7.5</x:v>
      </x:c>
      <x:c r="W20" s="82" t="n">
        <x:f>IF($B20="","",M20-K20)</x:f>
        <x:v>51200000</x:v>
      </x:c>
      <x:c r="X20" s="143" t="n">
        <x:f>IF($B20="","",H20-SUMIFS('محصول و کانال'!$K$9:$K$88,'محصول و کانال'!$B$9:$B$88,A20,'محصول و کانال'!$F$9:$F$88,C20))</x:f>
        <x:v>0</x:v>
      </x:c>
      <x:c r="Y20" s="16" t="str">
        <x:f>IF($B20="","",IF(H20&lt;30,"خاکستری",IF(AND(S20&gt;='فرض‌ها و منابع'!$B$19,T20&lt;='فرض‌ها و منابع'!$B$14,W20&gt;0),"سبز",IF(OR(W20&lt;0,T20&gt;'فرض‌ها و منابع'!$B$14*1.25),"قرمز","زرد"))))</x:f>
        <x:v>قرمز</x:v>
      </x:c>
    </x:row>
    <x:row r="21" ht="15" hidden="0" customHeight="1">
      <x:c r="A21" s="81" t="n">
        <x:v>46478</x:v>
      </x:c>
      <x:c r="B21" s="261" t="str">
        <x:v>DEMO-CMP-08</x:v>
      </x:c>
      <x:c r="C21" s="261" t="str">
        <x:v>فروشگاه آنلاین</x:v>
      </x:c>
      <x:c r="D21" s="30" t="n">
        <x:v>15411</x:v>
      </x:c>
      <x:c r="E21" s="30" t="n">
        <x:v>11712</x:v>
      </x:c>
      <x:c r="F21" s="30" t="n">
        <x:v>1405</x:v>
      </x:c>
      <x:c r="G21" s="30" t="n">
        <x:v>983</x:v>
      </x:c>
      <x:c r="H21" s="30" t="n">
        <x:v>309</x:v>
      </x:c>
      <x:c r="I21" s="30" t="n">
        <x:v>303</x:v>
      </x:c>
      <x:c r="J21" s="30" t="n">
        <x:v>216</x:v>
      </x:c>
      <x:c r="K21" s="30" t="n">
        <x:v>40800000</x:v>
      </x:c>
      <x:c r="L21" s="30" t="n">
        <x:v>306000000</x:v>
      </x:c>
      <x:c r="M21" s="30" t="n">
        <x:v>95200000</x:v>
      </x:c>
      <x:c r="N21" s="83" t="n">
        <x:f>IF(OR($B21="",D21=0),"n.a.",E21/D21)</x:f>
        <x:v>0.7599766400622932</x:v>
      </x:c>
      <x:c r="O21" s="83" t="n">
        <x:f>IF(OR($B21="",E21=0),"n.a.",F21/E21)</x:f>
        <x:v>0.11996243169398907</x:v>
      </x:c>
      <x:c r="P21" s="83" t="n">
        <x:f>IF(OR($B21="",F21=0),"n.a.",G21/F21)</x:f>
        <x:v>0.699644128113879</x:v>
      </x:c>
      <x:c r="Q21" s="83" t="n">
        <x:f>IF(OR($B21="",G21=0),"n.a.",H21/G21)</x:f>
        <x:v>0.3143438453713123</x:v>
      </x:c>
      <x:c r="R21" s="83" t="n">
        <x:f>IF(OR($B21="",H21=0),"n.a.",I21/H21)</x:f>
        <x:v>0.9805825242718447</x:v>
      </x:c>
      <x:c r="S21" s="83" t="n">
        <x:f>IF(OR($B21="",D21=0),"n.a.",H21/D21)</x:f>
        <x:v>0.020050613198364806</x:v>
      </x:c>
      <x:c r="T21" s="82" t="n">
        <x:f>IF(OR($B21="",J21=0),"n.a.",K21/J21)</x:f>
        <x:v>188888.88888888888</x:v>
      </x:c>
      <x:c r="U21" s="82" t="n">
        <x:f>IF(OR($B21="",H21=0),"n.a.",L21/H21)</x:f>
        <x:v>990291.2621359223</x:v>
      </x:c>
      <x:c r="V21" s="142" t="n">
        <x:f>IF(OR($B21="",K21=0),"n.a.",L21/K21)</x:f>
        <x:v>7.5</x:v>
      </x:c>
      <x:c r="W21" s="82" t="n">
        <x:f>IF($B21="","",M21-K21)</x:f>
        <x:v>54400000</x:v>
      </x:c>
      <x:c r="X21" s="143" t="n">
        <x:f>IF($B21="","",H21-SUMIFS('محصول و کانال'!$K$9:$K$88,'محصول و کانال'!$B$9:$B$88,A21,'محصول و کانال'!$F$9:$F$88,C21))</x:f>
        <x:v>0</x:v>
      </x:c>
      <x:c r="Y21" s="16" t="str">
        <x:f>IF($B21="","",IF(H21&lt;30,"خاکستری",IF(AND(S21&gt;='فرض‌ها و منابع'!$B$19,T21&lt;='فرض‌ها و منابع'!$B$14,W21&gt;0),"سبز",IF(OR(W21&lt;0,T21&gt;'فرض‌ها و منابع'!$B$14*1.25),"قرمز","زرد"))))</x:f>
        <x:v>قرمز</x:v>
      </x:c>
    </x:row>
    <x:row r="22" ht="15" hidden="0" customHeight="1">
      <x:c r="A22" s="81" t="n">
        <x:v>46508</x:v>
      </x:c>
      <x:c r="B22" s="261" t="str">
        <x:v>DEMO-CMP-09</x:v>
      </x:c>
      <x:c r="C22" s="261" t="str">
        <x:v>فروشگاه آنلاین</x:v>
      </x:c>
      <x:c r="D22" s="30" t="n">
        <x:v>16188</x:v>
      </x:c>
      <x:c r="E22" s="30" t="n">
        <x:v>12303</x:v>
      </x:c>
      <x:c r="F22" s="30" t="n">
        <x:v>1476</x:v>
      </x:c>
      <x:c r="G22" s="30" t="n">
        <x:v>1033</x:v>
      </x:c>
      <x:c r="H22" s="30" t="n">
        <x:v>327</x:v>
      </x:c>
      <x:c r="I22" s="30" t="n">
        <x:v>320</x:v>
      </x:c>
      <x:c r="J22" s="30" t="n">
        <x:v>229</x:v>
      </x:c>
      <x:c r="K22" s="30" t="n">
        <x:v>43200000</x:v>
      </x:c>
      <x:c r="L22" s="30" t="n">
        <x:v>324000000</x:v>
      </x:c>
      <x:c r="M22" s="30" t="n">
        <x:v>100800000</x:v>
      </x:c>
      <x:c r="N22" s="83" t="n">
        <x:f>IF(OR($B22="",D22=0),"n.a.",E22/D22)</x:f>
        <x:v>0.7600074128984433</x:v>
      </x:c>
      <x:c r="O22" s="83" t="n">
        <x:f>IF(OR($B22="",E22=0),"n.a.",F22/E22)</x:f>
        <x:v>0.11997073884418434</x:v>
      </x:c>
      <x:c r="P22" s="83" t="n">
        <x:f>IF(OR($B22="",F22=0),"n.a.",G22/F22)</x:f>
        <x:v>0.6998644986449865</x:v>
      </x:c>
      <x:c r="Q22" s="83" t="n">
        <x:f>IF(OR($B22="",G22=0),"n.a.",H22/G22)</x:f>
        <x:v>0.3165537270087125</x:v>
      </x:c>
      <x:c r="R22" s="83" t="n">
        <x:f>IF(OR($B22="",H22=0),"n.a.",I22/H22)</x:f>
        <x:v>0.9785932721712538</x:v>
      </x:c>
      <x:c r="S22" s="83" t="n">
        <x:f>IF(OR($B22="",D22=0),"n.a.",H22/D22)</x:f>
        <x:v>0.020200148257968866</x:v>
      </x:c>
      <x:c r="T22" s="82" t="n">
        <x:f>IF(OR($B22="",J22=0),"n.a.",K22/J22)</x:f>
        <x:v>188646.28820960698</x:v>
      </x:c>
      <x:c r="U22" s="82" t="n">
        <x:f>IF(OR($B22="",H22=0),"n.a.",L22/H22)</x:f>
        <x:v>990825.6880733945</x:v>
      </x:c>
      <x:c r="V22" s="142" t="n">
        <x:f>IF(OR($B22="",K22=0),"n.a.",L22/K22)</x:f>
        <x:v>7.5</x:v>
      </x:c>
      <x:c r="W22" s="82" t="n">
        <x:f>IF($B22="","",M22-K22)</x:f>
        <x:v>57600000</x:v>
      </x:c>
      <x:c r="X22" s="143" t="n">
        <x:f>IF($B22="","",H22-SUMIFS('محصول و کانال'!$K$9:$K$88,'محصول و کانال'!$B$9:$B$88,A22,'محصول و کانال'!$F$9:$F$88,C22))</x:f>
        <x:v>0</x:v>
      </x:c>
      <x:c r="Y22" s="16" t="str">
        <x:f>IF($B22="","",IF(H22&lt;30,"خاکستری",IF(AND(S22&gt;='فرض‌ها و منابع'!$B$19,T22&lt;='فرض‌ها و منابع'!$B$14,W22&gt;0),"سبز",IF(OR(W22&lt;0,T22&gt;'فرض‌ها و منابع'!$B$14*1.25),"قرمز","زرد"))))</x:f>
        <x:v>قرمز</x:v>
      </x:c>
    </x:row>
    <x:row r="23" ht="15" hidden="0" customHeight="1">
      <x:c r="A23" s="81" t="n">
        <x:v>46539</x:v>
      </x:c>
      <x:c r="B23" s="261" t="str">
        <x:v>DEMO-CMP-10</x:v>
      </x:c>
      <x:c r="C23" s="261" t="str">
        <x:v>فروشگاه آنلاین</x:v>
      </x:c>
      <x:c r="D23" s="30" t="n">
        <x:v>16953</x:v>
      </x:c>
      <x:c r="E23" s="30" t="n">
        <x:v>12884</x:v>
      </x:c>
      <x:c r="F23" s="30" t="n">
        <x:v>1546</x:v>
      </x:c>
      <x:c r="G23" s="30" t="n">
        <x:v>1082</x:v>
      </x:c>
      <x:c r="H23" s="30" t="n">
        <x:v>345</x:v>
      </x:c>
      <x:c r="I23" s="30" t="n">
        <x:v>338</x:v>
      </x:c>
      <x:c r="J23" s="30" t="n">
        <x:v>241</x:v>
      </x:c>
      <x:c r="K23" s="30" t="n">
        <x:v>45600000</x:v>
      </x:c>
      <x:c r="L23" s="30" t="n">
        <x:v>342000000</x:v>
      </x:c>
      <x:c r="M23" s="30" t="n">
        <x:v>106400000</x:v>
      </x:c>
      <x:c r="N23" s="83" t="n">
        <x:f>IF(OR($B23="",D23=0),"n.a.",E23/D23)</x:f>
        <x:v>0.7599834837491889</x:v>
      </x:c>
      <x:c r="O23" s="83" t="n">
        <x:f>IF(OR($B23="",E23=0),"n.a.",F23/E23)</x:f>
        <x:v>0.11999379074821484</x:v>
      </x:c>
      <x:c r="P23" s="83" t="n">
        <x:f>IF(OR($B23="",F23=0),"n.a.",G23/F23)</x:f>
        <x:v>0.6998706338939198</x:v>
      </x:c>
      <x:c r="Q23" s="83" t="n">
        <x:f>IF(OR($B23="",G23=0),"n.a.",H23/G23)</x:f>
        <x:v>0.3188539741219963</x:v>
      </x:c>
      <x:c r="R23" s="83" t="n">
        <x:f>IF(OR($B23="",H23=0),"n.a.",I23/H23)</x:f>
        <x:v>0.9797101449275363</x:v>
      </x:c>
      <x:c r="S23" s="83" t="n">
        <x:f>IF(OR($B23="",D23=0),"n.a.",H23/D23)</x:f>
        <x:v>0.020350380463634753</x:v>
      </x:c>
      <x:c r="T23" s="82" t="n">
        <x:f>IF(OR($B23="",J23=0),"n.a.",K23/J23)</x:f>
        <x:v>189211.6182572614</x:v>
      </x:c>
      <x:c r="U23" s="82" t="n">
        <x:f>IF(OR($B23="",H23=0),"n.a.",L23/H23)</x:f>
        <x:v>991304.3478260869</x:v>
      </x:c>
      <x:c r="V23" s="142" t="n">
        <x:f>IF(OR($B23="",K23=0),"n.a.",L23/K23)</x:f>
        <x:v>7.5</x:v>
      </x:c>
      <x:c r="W23" s="82" t="n">
        <x:f>IF($B23="","",M23-K23)</x:f>
        <x:v>60800000</x:v>
      </x:c>
      <x:c r="X23" s="143" t="n">
        <x:f>IF($B23="","",H23-SUMIFS('محصول و کانال'!$K$9:$K$88,'محصول و کانال'!$B$9:$B$88,A23,'محصول و کانال'!$F$9:$F$88,C23))</x:f>
        <x:v>0</x:v>
      </x:c>
      <x:c r="Y23" s="16" t="str">
        <x:f>IF($B23="","",IF(H23&lt;30,"خاکستری",IF(AND(S23&gt;='فرض‌ها و منابع'!$B$19,T23&lt;='فرض‌ها و منابع'!$B$14,W23&gt;0),"سبز",IF(OR(W23&lt;0,T23&gt;'فرض‌ها و منابع'!$B$14*1.25),"قرمز","زرد"))))</x:f>
        <x:v>قرمز</x:v>
      </x:c>
    </x:row>
    <x:row r="24" ht="15" hidden="0" customHeight="1">
      <x:c r="A24" s="81" t="n">
        <x:v>46569</x:v>
      </x:c>
      <x:c r="B24" s="261" t="str">
        <x:v>DEMO-CMP-11</x:v>
      </x:c>
      <x:c r="C24" s="261" t="str">
        <x:v>فروشگاه آنلاین</x:v>
      </x:c>
      <x:c r="D24" s="30" t="n">
        <x:v>17756</x:v>
      </x:c>
      <x:c r="E24" s="30" t="n">
        <x:v>13495</x:v>
      </x:c>
      <x:c r="F24" s="30" t="n">
        <x:v>1619</x:v>
      </x:c>
      <x:c r="G24" s="30" t="n">
        <x:v>1133</x:v>
      </x:c>
      <x:c r="H24" s="30" t="n">
        <x:v>364</x:v>
      </x:c>
      <x:c r="I24" s="30" t="n">
        <x:v>357</x:v>
      </x:c>
      <x:c r="J24" s="30" t="n">
        <x:v>255</x:v>
      </x:c>
      <x:c r="K24" s="30" t="n">
        <x:v>48000000</x:v>
      </x:c>
      <x:c r="L24" s="30" t="n">
        <x:v>360000000</x:v>
      </x:c>
      <x:c r="M24" s="30" t="n">
        <x:v>112000000</x:v>
      </x:c>
      <x:c r="N24" s="83" t="n">
        <x:f>IF(OR($B24="",D24=0),"n.a.",E24/D24)</x:f>
        <x:v>0.760024780355936</x:v>
      </x:c>
      <x:c r="O24" s="83" t="n">
        <x:f>IF(OR($B24="",E24=0),"n.a.",F24/E24)</x:f>
        <x:v>0.11997035939236754</x:v>
      </x:c>
      <x:c r="P24" s="83" t="n">
        <x:f>IF(OR($B24="",F24=0),"n.a.",G24/F24)</x:f>
        <x:v>0.6998147004323657</x:v>
      </x:c>
      <x:c r="Q24" s="83" t="n">
        <x:f>IF(OR($B24="",G24=0),"n.a.",H24/G24)</x:f>
        <x:v>0.3212709620476611</x:v>
      </x:c>
      <x:c r="R24" s="83" t="n">
        <x:f>IF(OR($B24="",H24=0),"n.a.",I24/H24)</x:f>
        <x:v>0.9807692307692307</x:v>
      </x:c>
      <x:c r="S24" s="83" t="n">
        <x:f>IF(OR($B24="",D24=0),"n.a.",H24/D24)</x:f>
        <x:v>0.020500112637981526</x:v>
      </x:c>
      <x:c r="T24" s="82" t="n">
        <x:f>IF(OR($B24="",J24=0),"n.a.",K24/J24)</x:f>
        <x:v>188235.29411764705</x:v>
      </x:c>
      <x:c r="U24" s="82" t="n">
        <x:f>IF(OR($B24="",H24=0),"n.a.",L24/H24)</x:f>
        <x:v>989010.989010989</x:v>
      </x:c>
      <x:c r="V24" s="142" t="n">
        <x:f>IF(OR($B24="",K24=0),"n.a.",L24/K24)</x:f>
        <x:v>7.5</x:v>
      </x:c>
      <x:c r="W24" s="82" t="n">
        <x:f>IF($B24="","",M24-K24)</x:f>
        <x:v>64000000</x:v>
      </x:c>
      <x:c r="X24" s="143" t="n">
        <x:f>IF($B24="","",H24-SUMIFS('محصول و کانال'!$K$9:$K$88,'محصول و کانال'!$B$9:$B$88,A24,'محصول و کانال'!$F$9:$F$88,C24))</x:f>
        <x:v>0</x:v>
      </x:c>
      <x:c r="Y24" s="16" t="str">
        <x:f>IF($B24="","",IF(H24&lt;30,"خاکستری",IF(AND(S24&gt;='فرض‌ها و منابع'!$B$19,T24&lt;='فرض‌ها و منابع'!$B$14,W24&gt;0),"سبز",IF(OR(W24&lt;0,T24&gt;'فرض‌ها و منابع'!$B$14*1.25),"قرمز","زرد"))))</x:f>
        <x:v>قرمز</x:v>
      </x:c>
    </x:row>
    <x:row r="25" ht="15" hidden="0" customHeight="1">
      <x:c r="A25" s="81" t="n">
        <x:v>46600</x:v>
      </x:c>
      <x:c r="B25" s="261" t="str">
        <x:v>DEMO-CMP-12</x:v>
      </x:c>
      <x:c r="C25" s="261" t="str">
        <x:v>فروشگاه آنلاین</x:v>
      </x:c>
      <x:c r="D25" s="30" t="n">
        <x:v>18499</x:v>
      </x:c>
      <x:c r="E25" s="30" t="n">
        <x:v>14059</x:v>
      </x:c>
      <x:c r="F25" s="30" t="n">
        <x:v>1687</x:v>
      </x:c>
      <x:c r="G25" s="30" t="n">
        <x:v>1181</x:v>
      </x:c>
      <x:c r="H25" s="30" t="n">
        <x:v>382</x:v>
      </x:c>
      <x:c r="I25" s="30" t="n">
        <x:v>374</x:v>
      </x:c>
      <x:c r="J25" s="30" t="n">
        <x:v>267</x:v>
      </x:c>
      <x:c r="K25" s="30" t="n">
        <x:v>50400000</x:v>
      </x:c>
      <x:c r="L25" s="30" t="n">
        <x:v>378000000</x:v>
      </x:c>
      <x:c r="M25" s="30" t="n">
        <x:v>117600000</x:v>
      </x:c>
      <x:c r="N25" s="83" t="n">
        <x:f>IF(OR($B25="",D25=0),"n.a.",E25/D25)</x:f>
        <x:v>0.7599870263257473</x:v>
      </x:c>
      <x:c r="O25" s="83" t="n">
        <x:f>IF(OR($B25="",E25=0),"n.a.",F25/E25)</x:f>
        <x:v>0.11999430969485739</x:v>
      </x:c>
      <x:c r="P25" s="83" t="n">
        <x:f>IF(OR($B25="",F25=0),"n.a.",G25/F25)</x:f>
        <x:v>0.7000592768227623</x:v>
      </x:c>
      <x:c r="Q25" s="83" t="n">
        <x:f>IF(OR($B25="",G25=0),"n.a.",H25/G25)</x:f>
        <x:v>0.32345469940728194</x:v>
      </x:c>
      <x:c r="R25" s="83" t="n">
        <x:f>IF(OR($B25="",H25=0),"n.a.",I25/H25)</x:f>
        <x:v>0.9790575916230366</x:v>
      </x:c>
      <x:c r="S25" s="83" t="n">
        <x:f>IF(OR($B25="",D25=0),"n.a.",H25/D25)</x:f>
        <x:v>0.02064976485215417</x:v>
      </x:c>
      <x:c r="T25" s="82" t="n">
        <x:f>IF(OR($B25="",J25=0),"n.a.",K25/J25)</x:f>
        <x:v>188764.04494382022</x:v>
      </x:c>
      <x:c r="U25" s="82" t="n">
        <x:f>IF(OR($B25="",H25=0),"n.a.",L25/H25)</x:f>
        <x:v>989528.7958115183</x:v>
      </x:c>
      <x:c r="V25" s="142" t="n">
        <x:f>IF(OR($B25="",K25=0),"n.a.",L25/K25)</x:f>
        <x:v>7.5</x:v>
      </x:c>
      <x:c r="W25" s="82" t="n">
        <x:f>IF($B25="","",M25-K25)</x:f>
        <x:v>67200000</x:v>
      </x:c>
      <x:c r="X25" s="143" t="n">
        <x:f>IF($B25="","",H25-SUMIFS('محصول و کانال'!$K$9:$K$88,'محصول و کانال'!$B$9:$B$88,A25,'محصول و کانال'!$F$9:$F$88,C25))</x:f>
        <x:v>0</x:v>
      </x:c>
      <x:c r="Y25" s="16" t="str">
        <x:f>IF($B25="","",IF(H25&lt;30,"خاکستری",IF(AND(S25&gt;='فرض‌ها و منابع'!$B$19,T25&lt;='فرض‌ها و منابع'!$B$14,W25&gt;0),"سبز",IF(OR(W25&lt;0,T25&gt;'فرض‌ها و منابع'!$B$14*1.25),"قرمز","زرد"))))</x:f>
        <x:v>قرمز</x:v>
      </x:c>
    </x:row>
    <x:row r="26" ht="15" hidden="0" customHeight="1">
      <x:c r="A26" s="81"/>
      <x:c r="B26" s="261"/>
      <x:c r="C26" s="261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83" t="str">
        <x:f>IF(OR($B26="",D26=0),"n.a.",E26/D26)</x:f>
        <x:v>n.a.</x:v>
      </x:c>
      <x:c r="O26" s="83" t="str">
        <x:f>IF(OR($B26="",E26=0),"n.a.",F26/E26)</x:f>
        <x:v>n.a.</x:v>
      </x:c>
      <x:c r="P26" s="83" t="str">
        <x:f>IF(OR($B26="",F26=0),"n.a.",G26/F26)</x:f>
        <x:v>n.a.</x:v>
      </x:c>
      <x:c r="Q26" s="83" t="str">
        <x:f>IF(OR($B26="",G26=0),"n.a.",H26/G26)</x:f>
        <x:v>n.a.</x:v>
      </x:c>
      <x:c r="R26" s="83" t="str">
        <x:f>IF(OR($B26="",H26=0),"n.a.",I26/H26)</x:f>
        <x:v>n.a.</x:v>
      </x:c>
      <x:c r="S26" s="83" t="str">
        <x:f>IF(OR($B26="",D26=0),"n.a.",H26/D26)</x:f>
        <x:v>n.a.</x:v>
      </x:c>
      <x:c r="T26" s="82" t="str">
        <x:f>IF(OR($B26="",J26=0),"n.a.",K26/J26)</x:f>
        <x:v>n.a.</x:v>
      </x:c>
      <x:c r="U26" s="82" t="str">
        <x:f>IF(OR($B26="",H26=0),"n.a.",L26/H26)</x:f>
        <x:v>n.a.</x:v>
      </x:c>
      <x:c r="V26" s="142" t="str">
        <x:f>IF(OR($B26="",K26=0),"n.a.",L26/K26)</x:f>
        <x:v>n.a.</x:v>
      </x:c>
      <x:c r="W26" s="82" t="str">
        <x:f>IF($B26="","",M26-K26)</x:f>
      </x:c>
      <x:c r="X26" s="143" t="str">
        <x:f>IF($B26="","",H26-SUMIFS('محصول و کانال'!$K$9:$K$88,'محصول و کانال'!$B$9:$B$88,A26,'محصول و کانال'!$F$9:$F$88,C26))</x:f>
      </x:c>
      <x:c r="Y26" s="16" t="str">
        <x:f>IF($B26="","",IF(H26&lt;30,"خاکستری",IF(AND(S26&gt;='فرض‌ها و منابع'!$B$19,T26&lt;='فرض‌ها و منابع'!$B$14,W26&gt;0),"سبز",IF(OR(W26&lt;0,T26&gt;'فرض‌ها و منابع'!$B$14*1.25),"قرمز","زرد"))))</x:f>
      </x:c>
    </x:row>
    <x:row r="27" ht="15" hidden="0" customHeight="1">
      <x:c r="A27" s="81"/>
      <x:c r="B27" s="261"/>
      <x:c r="C27" s="261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83" t="str">
        <x:f>IF(OR($B27="",D27=0),"n.a.",E27/D27)</x:f>
        <x:v>n.a.</x:v>
      </x:c>
      <x:c r="O27" s="83" t="str">
        <x:f>IF(OR($B27="",E27=0),"n.a.",F27/E27)</x:f>
        <x:v>n.a.</x:v>
      </x:c>
      <x:c r="P27" s="83" t="str">
        <x:f>IF(OR($B27="",F27=0),"n.a.",G27/F27)</x:f>
        <x:v>n.a.</x:v>
      </x:c>
      <x:c r="Q27" s="83" t="str">
        <x:f>IF(OR($B27="",G27=0),"n.a.",H27/G27)</x:f>
        <x:v>n.a.</x:v>
      </x:c>
      <x:c r="R27" s="83" t="str">
        <x:f>IF(OR($B27="",H27=0),"n.a.",I27/H27)</x:f>
        <x:v>n.a.</x:v>
      </x:c>
      <x:c r="S27" s="83" t="str">
        <x:f>IF(OR($B27="",D27=0),"n.a.",H27/D27)</x:f>
        <x:v>n.a.</x:v>
      </x:c>
      <x:c r="T27" s="82" t="str">
        <x:f>IF(OR($B27="",J27=0),"n.a.",K27/J27)</x:f>
        <x:v>n.a.</x:v>
      </x:c>
      <x:c r="U27" s="82" t="str">
        <x:f>IF(OR($B27="",H27=0),"n.a.",L27/H27)</x:f>
        <x:v>n.a.</x:v>
      </x:c>
      <x:c r="V27" s="142" t="str">
        <x:f>IF(OR($B27="",K27=0),"n.a.",L27/K27)</x:f>
        <x:v>n.a.</x:v>
      </x:c>
      <x:c r="W27" s="82" t="str">
        <x:f>IF($B27="","",M27-K27)</x:f>
      </x:c>
      <x:c r="X27" s="143" t="str">
        <x:f>IF($B27="","",H27-SUMIFS('محصول و کانال'!$K$9:$K$88,'محصول و کانال'!$B$9:$B$88,A27,'محصول و کانال'!$F$9:$F$88,C27))</x:f>
      </x:c>
      <x:c r="Y27" s="16" t="str">
        <x:f>IF($B27="","",IF(H27&lt;30,"خاکستری",IF(AND(S27&gt;='فرض‌ها و منابع'!$B$19,T27&lt;='فرض‌ها و منابع'!$B$14,W27&gt;0),"سبز",IF(OR(W27&lt;0,T27&gt;'فرض‌ها و منابع'!$B$14*1.25),"قرمز","زرد"))))</x:f>
      </x:c>
    </x:row>
    <x:row r="28" ht="15" hidden="0" customHeight="1">
      <x:c r="A28" s="81"/>
      <x:c r="B28" s="261"/>
      <x:c r="C28" s="261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83" t="str">
        <x:f>IF(OR($B28="",D28=0),"n.a.",E28/D28)</x:f>
        <x:v>n.a.</x:v>
      </x:c>
      <x:c r="O28" s="83" t="str">
        <x:f>IF(OR($B28="",E28=0),"n.a.",F28/E28)</x:f>
        <x:v>n.a.</x:v>
      </x:c>
      <x:c r="P28" s="83" t="str">
        <x:f>IF(OR($B28="",F28=0),"n.a.",G28/F28)</x:f>
        <x:v>n.a.</x:v>
      </x:c>
      <x:c r="Q28" s="83" t="str">
        <x:f>IF(OR($B28="",G28=0),"n.a.",H28/G28)</x:f>
        <x:v>n.a.</x:v>
      </x:c>
      <x:c r="R28" s="83" t="str">
        <x:f>IF(OR($B28="",H28=0),"n.a.",I28/H28)</x:f>
        <x:v>n.a.</x:v>
      </x:c>
      <x:c r="S28" s="83" t="str">
        <x:f>IF(OR($B28="",D28=0),"n.a.",H28/D28)</x:f>
        <x:v>n.a.</x:v>
      </x:c>
      <x:c r="T28" s="82" t="str">
        <x:f>IF(OR($B28="",J28=0),"n.a.",K28/J28)</x:f>
        <x:v>n.a.</x:v>
      </x:c>
      <x:c r="U28" s="82" t="str">
        <x:f>IF(OR($B28="",H28=0),"n.a.",L28/H28)</x:f>
        <x:v>n.a.</x:v>
      </x:c>
      <x:c r="V28" s="142" t="str">
        <x:f>IF(OR($B28="",K28=0),"n.a.",L28/K28)</x:f>
        <x:v>n.a.</x:v>
      </x:c>
      <x:c r="W28" s="82" t="str">
        <x:f>IF($B28="","",M28-K28)</x:f>
      </x:c>
      <x:c r="X28" s="143" t="str">
        <x:f>IF($B28="","",H28-SUMIFS('محصول و کانال'!$K$9:$K$88,'محصول و کانال'!$B$9:$B$88,A28,'محصول و کانال'!$F$9:$F$88,C28))</x:f>
      </x:c>
      <x:c r="Y28" s="16" t="str">
        <x:f>IF($B28="","",IF(H28&lt;30,"خاکستری",IF(AND(S28&gt;='فرض‌ها و منابع'!$B$19,T28&lt;='فرض‌ها و منابع'!$B$14,W28&gt;0),"سبز",IF(OR(W28&lt;0,T28&gt;'فرض‌ها و منابع'!$B$14*1.25),"قرمز","زرد"))))</x:f>
      </x:c>
    </x:row>
    <x:row r="29" ht="15" hidden="0" customHeight="1">
      <x:c r="A29" s="81"/>
      <x:c r="B29" s="261"/>
      <x:c r="C29" s="261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83" t="str">
        <x:f>IF(OR($B29="",D29=0),"n.a.",E29/D29)</x:f>
        <x:v>n.a.</x:v>
      </x:c>
      <x:c r="O29" s="83" t="str">
        <x:f>IF(OR($B29="",E29=0),"n.a.",F29/E29)</x:f>
        <x:v>n.a.</x:v>
      </x:c>
      <x:c r="P29" s="83" t="str">
        <x:f>IF(OR($B29="",F29=0),"n.a.",G29/F29)</x:f>
        <x:v>n.a.</x:v>
      </x:c>
      <x:c r="Q29" s="83" t="str">
        <x:f>IF(OR($B29="",G29=0),"n.a.",H29/G29)</x:f>
        <x:v>n.a.</x:v>
      </x:c>
      <x:c r="R29" s="83" t="str">
        <x:f>IF(OR($B29="",H29=0),"n.a.",I29/H29)</x:f>
        <x:v>n.a.</x:v>
      </x:c>
      <x:c r="S29" s="83" t="str">
        <x:f>IF(OR($B29="",D29=0),"n.a.",H29/D29)</x:f>
        <x:v>n.a.</x:v>
      </x:c>
      <x:c r="T29" s="82" t="str">
        <x:f>IF(OR($B29="",J29=0),"n.a.",K29/J29)</x:f>
        <x:v>n.a.</x:v>
      </x:c>
      <x:c r="U29" s="82" t="str">
        <x:f>IF(OR($B29="",H29=0),"n.a.",L29/H29)</x:f>
        <x:v>n.a.</x:v>
      </x:c>
      <x:c r="V29" s="142" t="str">
        <x:f>IF(OR($B29="",K29=0),"n.a.",L29/K29)</x:f>
        <x:v>n.a.</x:v>
      </x:c>
      <x:c r="W29" s="82" t="str">
        <x:f>IF($B29="","",M29-K29)</x:f>
      </x:c>
      <x:c r="X29" s="143" t="str">
        <x:f>IF($B29="","",H29-SUMIFS('محصول و کانال'!$K$9:$K$88,'محصول و کانال'!$B$9:$B$88,A29,'محصول و کانال'!$F$9:$F$88,C29))</x:f>
      </x:c>
      <x:c r="Y29" s="16" t="str">
        <x:f>IF($B29="","",IF(H29&lt;30,"خاکستری",IF(AND(S29&gt;='فرض‌ها و منابع'!$B$19,T29&lt;='فرض‌ها و منابع'!$B$14,W29&gt;0),"سبز",IF(OR(W29&lt;0,T29&gt;'فرض‌ها و منابع'!$B$14*1.25),"قرمز","زرد"))))</x:f>
      </x:c>
    </x:row>
    <x:row r="30" ht="15" hidden="0" customHeight="1">
      <x:c r="A30" s="81"/>
      <x:c r="B30" s="261"/>
      <x:c r="C30" s="261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83" t="str">
        <x:f>IF(OR($B30="",D30=0),"n.a.",E30/D30)</x:f>
        <x:v>n.a.</x:v>
      </x:c>
      <x:c r="O30" s="83" t="str">
        <x:f>IF(OR($B30="",E30=0),"n.a.",F30/E30)</x:f>
        <x:v>n.a.</x:v>
      </x:c>
      <x:c r="P30" s="83" t="str">
        <x:f>IF(OR($B30="",F30=0),"n.a.",G30/F30)</x:f>
        <x:v>n.a.</x:v>
      </x:c>
      <x:c r="Q30" s="83" t="str">
        <x:f>IF(OR($B30="",G30=0),"n.a.",H30/G30)</x:f>
        <x:v>n.a.</x:v>
      </x:c>
      <x:c r="R30" s="83" t="str">
        <x:f>IF(OR($B30="",H30=0),"n.a.",I30/H30)</x:f>
        <x:v>n.a.</x:v>
      </x:c>
      <x:c r="S30" s="83" t="str">
        <x:f>IF(OR($B30="",D30=0),"n.a.",H30/D30)</x:f>
        <x:v>n.a.</x:v>
      </x:c>
      <x:c r="T30" s="82" t="str">
        <x:f>IF(OR($B30="",J30=0),"n.a.",K30/J30)</x:f>
        <x:v>n.a.</x:v>
      </x:c>
      <x:c r="U30" s="82" t="str">
        <x:f>IF(OR($B30="",H30=0),"n.a.",L30/H30)</x:f>
        <x:v>n.a.</x:v>
      </x:c>
      <x:c r="V30" s="142" t="str">
        <x:f>IF(OR($B30="",K30=0),"n.a.",L30/K30)</x:f>
        <x:v>n.a.</x:v>
      </x:c>
      <x:c r="W30" s="82" t="str">
        <x:f>IF($B30="","",M30-K30)</x:f>
      </x:c>
      <x:c r="X30" s="143" t="str">
        <x:f>IF($B30="","",H30-SUMIFS('محصول و کانال'!$K$9:$K$88,'محصول و کانال'!$B$9:$B$88,A30,'محصول و کانال'!$F$9:$F$88,C30))</x:f>
      </x:c>
      <x:c r="Y30" s="16" t="str">
        <x:f>IF($B30="","",IF(H30&lt;30,"خاکستری",IF(AND(S30&gt;='فرض‌ها و منابع'!$B$19,T30&lt;='فرض‌ها و منابع'!$B$14,W30&gt;0),"سبز",IF(OR(W30&lt;0,T30&gt;'فرض‌ها و منابع'!$B$14*1.25),"قرمز","زرد"))))</x:f>
      </x:c>
    </x:row>
    <x:row r="31" ht="15" hidden="0" customHeight="1">
      <x:c r="A31" s="81"/>
      <x:c r="B31" s="261"/>
      <x:c r="C31" s="261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83" t="str">
        <x:f>IF(OR($B31="",D31=0),"n.a.",E31/D31)</x:f>
        <x:v>n.a.</x:v>
      </x:c>
      <x:c r="O31" s="83" t="str">
        <x:f>IF(OR($B31="",E31=0),"n.a.",F31/E31)</x:f>
        <x:v>n.a.</x:v>
      </x:c>
      <x:c r="P31" s="83" t="str">
        <x:f>IF(OR($B31="",F31=0),"n.a.",G31/F31)</x:f>
        <x:v>n.a.</x:v>
      </x:c>
      <x:c r="Q31" s="83" t="str">
        <x:f>IF(OR($B31="",G31=0),"n.a.",H31/G31)</x:f>
        <x:v>n.a.</x:v>
      </x:c>
      <x:c r="R31" s="83" t="str">
        <x:f>IF(OR($B31="",H31=0),"n.a.",I31/H31)</x:f>
        <x:v>n.a.</x:v>
      </x:c>
      <x:c r="S31" s="83" t="str">
        <x:f>IF(OR($B31="",D31=0),"n.a.",H31/D31)</x:f>
        <x:v>n.a.</x:v>
      </x:c>
      <x:c r="T31" s="82" t="str">
        <x:f>IF(OR($B31="",J31=0),"n.a.",K31/J31)</x:f>
        <x:v>n.a.</x:v>
      </x:c>
      <x:c r="U31" s="82" t="str">
        <x:f>IF(OR($B31="",H31=0),"n.a.",L31/H31)</x:f>
        <x:v>n.a.</x:v>
      </x:c>
      <x:c r="V31" s="142" t="str">
        <x:f>IF(OR($B31="",K31=0),"n.a.",L31/K31)</x:f>
        <x:v>n.a.</x:v>
      </x:c>
      <x:c r="W31" s="82" t="str">
        <x:f>IF($B31="","",M31-K31)</x:f>
      </x:c>
      <x:c r="X31" s="143" t="str">
        <x:f>IF($B31="","",H31-SUMIFS('محصول و کانال'!$K$9:$K$88,'محصول و کانال'!$B$9:$B$88,A31,'محصول و کانال'!$F$9:$F$88,C31))</x:f>
      </x:c>
      <x:c r="Y31" s="16" t="str">
        <x:f>IF($B31="","",IF(H31&lt;30,"خاکستری",IF(AND(S31&gt;='فرض‌ها و منابع'!$B$19,T31&lt;='فرض‌ها و منابع'!$B$14,W31&gt;0),"سبز",IF(OR(W31&lt;0,T31&gt;'فرض‌ها و منابع'!$B$14*1.25),"قرمز","زرد"))))</x:f>
      </x:c>
    </x:row>
    <x:row r="32" ht="15" hidden="0" customHeight="1">
      <x:c r="A32" s="81"/>
      <x:c r="B32" s="261"/>
      <x:c r="C32" s="261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83" t="str">
        <x:f>IF(OR($B32="",D32=0),"n.a.",E32/D32)</x:f>
        <x:v>n.a.</x:v>
      </x:c>
      <x:c r="O32" s="83" t="str">
        <x:f>IF(OR($B32="",E32=0),"n.a.",F32/E32)</x:f>
        <x:v>n.a.</x:v>
      </x:c>
      <x:c r="P32" s="83" t="str">
        <x:f>IF(OR($B32="",F32=0),"n.a.",G32/F32)</x:f>
        <x:v>n.a.</x:v>
      </x:c>
      <x:c r="Q32" s="83" t="str">
        <x:f>IF(OR($B32="",G32=0),"n.a.",H32/G32)</x:f>
        <x:v>n.a.</x:v>
      </x:c>
      <x:c r="R32" s="83" t="str">
        <x:f>IF(OR($B32="",H32=0),"n.a.",I32/H32)</x:f>
        <x:v>n.a.</x:v>
      </x:c>
      <x:c r="S32" s="83" t="str">
        <x:f>IF(OR($B32="",D32=0),"n.a.",H32/D32)</x:f>
        <x:v>n.a.</x:v>
      </x:c>
      <x:c r="T32" s="82" t="str">
        <x:f>IF(OR($B32="",J32=0),"n.a.",K32/J32)</x:f>
        <x:v>n.a.</x:v>
      </x:c>
      <x:c r="U32" s="82" t="str">
        <x:f>IF(OR($B32="",H32=0),"n.a.",L32/H32)</x:f>
        <x:v>n.a.</x:v>
      </x:c>
      <x:c r="V32" s="142" t="str">
        <x:f>IF(OR($B32="",K32=0),"n.a.",L32/K32)</x:f>
        <x:v>n.a.</x:v>
      </x:c>
      <x:c r="W32" s="82" t="str">
        <x:f>IF($B32="","",M32-K32)</x:f>
      </x:c>
      <x:c r="X32" s="143" t="str">
        <x:f>IF($B32="","",H32-SUMIFS('محصول و کانال'!$K$9:$K$88,'محصول و کانال'!$B$9:$B$88,A32,'محصول و کانال'!$F$9:$F$88,C32))</x:f>
      </x:c>
      <x:c r="Y32" s="16" t="str">
        <x:f>IF($B32="","",IF(H32&lt;30,"خاکستری",IF(AND(S32&gt;='فرض‌ها و منابع'!$B$19,T32&lt;='فرض‌ها و منابع'!$B$14,W32&gt;0),"سبز",IF(OR(W32&lt;0,T32&gt;'فرض‌ها و منابع'!$B$14*1.25),"قرمز","زرد"))))</x:f>
      </x:c>
    </x:row>
    <x:row r="33" ht="15" hidden="0" customHeight="1">
      <x:c r="A33" s="81"/>
      <x:c r="B33" s="261"/>
      <x:c r="C33" s="261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83" t="str">
        <x:f>IF(OR($B33="",D33=0),"n.a.",E33/D33)</x:f>
        <x:v>n.a.</x:v>
      </x:c>
      <x:c r="O33" s="83" t="str">
        <x:f>IF(OR($B33="",E33=0),"n.a.",F33/E33)</x:f>
        <x:v>n.a.</x:v>
      </x:c>
      <x:c r="P33" s="83" t="str">
        <x:f>IF(OR($B33="",F33=0),"n.a.",G33/F33)</x:f>
        <x:v>n.a.</x:v>
      </x:c>
      <x:c r="Q33" s="83" t="str">
        <x:f>IF(OR($B33="",G33=0),"n.a.",H33/G33)</x:f>
        <x:v>n.a.</x:v>
      </x:c>
      <x:c r="R33" s="83" t="str">
        <x:f>IF(OR($B33="",H33=0),"n.a.",I33/H33)</x:f>
        <x:v>n.a.</x:v>
      </x:c>
      <x:c r="S33" s="83" t="str">
        <x:f>IF(OR($B33="",D33=0),"n.a.",H33/D33)</x:f>
        <x:v>n.a.</x:v>
      </x:c>
      <x:c r="T33" s="82" t="str">
        <x:f>IF(OR($B33="",J33=0),"n.a.",K33/J33)</x:f>
        <x:v>n.a.</x:v>
      </x:c>
      <x:c r="U33" s="82" t="str">
        <x:f>IF(OR($B33="",H33=0),"n.a.",L33/H33)</x:f>
        <x:v>n.a.</x:v>
      </x:c>
      <x:c r="V33" s="142" t="str">
        <x:f>IF(OR($B33="",K33=0),"n.a.",L33/K33)</x:f>
        <x:v>n.a.</x:v>
      </x:c>
      <x:c r="W33" s="82" t="str">
        <x:f>IF($B33="","",M33-K33)</x:f>
      </x:c>
      <x:c r="X33" s="143" t="str">
        <x:f>IF($B33="","",H33-SUMIFS('محصول و کانال'!$K$9:$K$88,'محصول و کانال'!$B$9:$B$88,A33,'محصول و کانال'!$F$9:$F$88,C33))</x:f>
      </x:c>
      <x:c r="Y33" s="16" t="str">
        <x:f>IF($B33="","",IF(H33&lt;30,"خاکستری",IF(AND(S33&gt;='فرض‌ها و منابع'!$B$19,T33&lt;='فرض‌ها و منابع'!$B$14,W33&gt;0),"سبز",IF(OR(W33&lt;0,T33&gt;'فرض‌ها و منابع'!$B$14*1.25),"قرمز","زرد"))))</x:f>
      </x:c>
    </x:row>
    <x:row r="34" ht="15" hidden="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  <x:c r="W34" s="3"/>
      <x:c r="X34" s="3"/>
      <x:c r="Y34" s="3"/>
    </x:row>
    <x:row r="35" ht="15" hidden="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  <x:c r="T35" s="3"/>
      <x:c r="U35" s="3"/>
      <x:c r="V35" s="3"/>
      <x:c r="W35" s="3"/>
      <x:c r="X35" s="3"/>
      <x:c r="Y35" s="3"/>
    </x:row>
    <x:row r="36" ht="15" hidden="0" customHeight="1">
      <x:c r="A36" s="26" t="str">
        <x:v>دفتر آزمایش</x:v>
      </x:c>
      <x:c r="B36" s="27" t="str">
        <x:v>دفتر آزمایش</x:v>
      </x:c>
      <x:c r="C36" s="27" t="str">
        <x:v>دفتر آزمایش</x:v>
      </x:c>
      <x:c r="D36" s="27" t="str">
        <x:v>دفتر آزمایش</x:v>
      </x:c>
      <x:c r="E36" s="27" t="str">
        <x:v>دفتر آزمایش</x:v>
      </x:c>
      <x:c r="F36" s="27" t="str">
        <x:v>دفتر آزمایش</x:v>
      </x:c>
      <x:c r="G36" s="27" t="str">
        <x:v>دفتر آزمایش</x:v>
      </x:c>
      <x:c r="H36" s="27" t="str">
        <x:v>دفتر آزمایش</x:v>
      </x:c>
      <x:c r="I36" s="27" t="str">
        <x:v>دفتر آزمایش</x:v>
      </x:c>
      <x:c r="J36" s="27" t="str">
        <x:v>دفتر آزمایش</x:v>
      </x:c>
      <x:c r="K36" s="27" t="str">
        <x:v>دفتر آزمایش</x:v>
      </x:c>
      <x:c r="L36" s="27" t="str">
        <x:v>دفتر آزمایش</x:v>
      </x:c>
      <x:c r="M36" s="27" t="str">
        <x:v>دفتر آزمایش</x:v>
      </x:c>
      <x:c r="N36" s="28" t="str">
        <x:v>دفتر آزمایش</x:v>
      </x:c>
      <x:c r="O36" s="3"/>
      <x:c r="P36" s="3"/>
      <x:c r="Q36" s="3"/>
      <x:c r="R36" s="3"/>
      <x:c r="S36" s="3"/>
      <x:c r="T36" s="3"/>
      <x:c r="U36" s="3"/>
      <x:c r="V36" s="3"/>
      <x:c r="W36" s="3"/>
      <x:c r="X36" s="3"/>
      <x:c r="Y36" s="3"/>
    </x:row>
    <x:row r="37" ht="15" hidden="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  <x:c r="W37" s="3"/>
      <x:c r="X37" s="3"/>
      <x:c r="Y37" s="3"/>
    </x:row>
    <x:row r="38" ht="15" hidden="0" customHeight="1">
      <x:c r="A38" s="41" t="str">
        <x:v>شناسه</x:v>
      </x:c>
      <x:c r="B38" s="41" t="str">
        <x:v>فرضیه</x:v>
      </x:c>
      <x:c r="C38" s="41" t="str">
        <x:v>شاخص اصلی</x:v>
      </x:c>
      <x:c r="D38" s="41" t="str">
        <x:v>خط پایه</x:v>
      </x:c>
      <x:c r="E38" s="41" t="str">
        <x:v>هدف</x:v>
      </x:c>
      <x:c r="F38" s="41" t="str">
        <x:v>شاخص محافظ</x:v>
      </x:c>
      <x:c r="G38" s="41" t="str">
        <x:v>حداقل نمونه</x:v>
      </x:c>
      <x:c r="H38" s="41" t="str">
        <x:v>شروع</x:v>
      </x:c>
      <x:c r="I38" s="41" t="str">
        <x:v>پایان</x:v>
      </x:c>
      <x:c r="J38" s="41" t="str">
        <x:v>وضعیت</x:v>
      </x:c>
      <x:c r="K38" s="41" t="str">
        <x:v>نتیجه واقعی</x:v>
      </x:c>
      <x:c r="L38" s="41" t="str">
        <x:v>تصمیم</x:v>
      </x:c>
      <x:c r="M38" s="41" t="str">
        <x:v>مالک</x:v>
      </x:c>
      <x:c r="N38" s="41" t="str">
        <x:v>شاهد</x:v>
      </x:c>
      <x:c r="O38" s="3"/>
      <x:c r="P38" s="3"/>
      <x:c r="Q38" s="3"/>
      <x:c r="R38" s="3"/>
      <x:c r="S38" s="3"/>
      <x:c r="T38" s="3"/>
      <x:c r="U38" s="3"/>
      <x:c r="V38" s="3"/>
      <x:c r="W38" s="3"/>
      <x:c r="X38" s="3"/>
      <x:c r="Y38" s="3"/>
    </x:row>
    <x:row r="39" ht="36" hidden="0" customHeight="1">
      <x:c r="A39" s="22" t="str">
        <x:v>EXP-DEMO-01</x:v>
      </x:c>
      <x:c r="B39" s="261" t="str">
        <x:v>عنوان روشن‌تر صفحه محصول، نرخ تبدیل سفارش پرداخت‌شده را بهتر می‌کند.</x:v>
      </x:c>
      <x:c r="C39" s="261" t="str">
        <x:v>نرخ تبدیل کل</x:v>
      </x:c>
      <x:c r="D39" s="263" t="n">
        <x:v>0.019</x:v>
      </x:c>
      <x:c r="E39" s="263" t="n">
        <x:v>0.025</x:v>
      </x:c>
      <x:c r="F39" s="261" t="str">
        <x:v>CM2 مثبت و مرجوعی حداکثر ۴٪</x:v>
      </x:c>
      <x:c r="G39" s="262" t="n">
        <x:v>300</x:v>
      </x:c>
      <x:c r="H39" s="264" t="n">
        <x:v>46280</x:v>
      </x:c>
      <x:c r="I39" s="264" t="n">
        <x:v>46310</x:v>
      </x:c>
      <x:c r="J39" s="261" t="str">
        <x:v>در حال اجرا</x:v>
      </x:c>
      <x:c r="K39" s="263" t="n">
        <x:v>0.021</x:v>
      </x:c>
      <x:c r="L39" s="261" t="str">
        <x:v>ادامه تا تکمیل نمونه</x:v>
      </x:c>
      <x:c r="M39" s="261" t="str">
        <x:v>فروش</x:v>
      </x:c>
      <x:c r="N39" s="261" t="str">
        <x:v>SRC-DEMO</x:v>
      </x:c>
      <x:c r="O39" s="3"/>
      <x:c r="P39" s="3"/>
      <x:c r="Q39" s="3"/>
      <x:c r="R39" s="3"/>
      <x:c r="S39" s="3"/>
      <x:c r="T39" s="3"/>
      <x:c r="U39" s="3"/>
      <x:c r="V39" s="3"/>
      <x:c r="W39" s="3"/>
      <x:c r="X39" s="3"/>
      <x:c r="Y39" s="3"/>
    </x:row>
    <x:row r="40" ht="15" hidden="0" customHeight="1">
      <x:c r="A40" s="22"/>
      <x:c r="B40" s="261"/>
      <x:c r="C40" s="261"/>
      <x:c r="D40" s="263"/>
      <x:c r="E40" s="263"/>
      <x:c r="F40" s="261"/>
      <x:c r="G40" s="262"/>
      <x:c r="H40" s="264"/>
      <x:c r="I40" s="264"/>
      <x:c r="J40" s="261"/>
      <x:c r="K40" s="263"/>
      <x:c r="L40" s="261"/>
      <x:c r="M40" s="261"/>
      <x:c r="N40" s="261"/>
      <x:c r="O40" s="3"/>
      <x:c r="P40" s="3"/>
      <x:c r="Q40" s="3"/>
      <x:c r="R40" s="3"/>
      <x:c r="S40" s="3"/>
      <x:c r="T40" s="3"/>
      <x:c r="U40" s="3"/>
      <x:c r="V40" s="3"/>
      <x:c r="W40" s="3"/>
      <x:c r="X40" s="3"/>
      <x:c r="Y40" s="3"/>
    </x:row>
    <x:row r="41" ht="15" hidden="0" customHeight="1">
      <x:c r="A41" s="22"/>
      <x:c r="B41" s="261"/>
      <x:c r="C41" s="261"/>
      <x:c r="D41" s="263"/>
      <x:c r="E41" s="263"/>
      <x:c r="F41" s="261"/>
      <x:c r="G41" s="262"/>
      <x:c r="H41" s="264"/>
      <x:c r="I41" s="264"/>
      <x:c r="J41" s="261"/>
      <x:c r="K41" s="263"/>
      <x:c r="L41" s="261"/>
      <x:c r="M41" s="261"/>
      <x:c r="N41" s="261"/>
      <x:c r="O41" s="3"/>
      <x:c r="P41" s="3"/>
      <x:c r="Q41" s="3"/>
      <x:c r="R41" s="3"/>
      <x:c r="S41" s="3"/>
      <x:c r="T41" s="3"/>
      <x:c r="U41" s="3"/>
      <x:c r="V41" s="3"/>
      <x:c r="W41" s="3"/>
      <x:c r="X41" s="3"/>
      <x:c r="Y41" s="3"/>
    </x:row>
    <x:row r="42" ht="15" hidden="0" customHeight="1">
      <x:c r="A42" s="22"/>
      <x:c r="B42" s="261"/>
      <x:c r="C42" s="261"/>
      <x:c r="D42" s="263"/>
      <x:c r="E42" s="263"/>
      <x:c r="F42" s="261"/>
      <x:c r="G42" s="262"/>
      <x:c r="H42" s="264"/>
      <x:c r="I42" s="264"/>
      <x:c r="J42" s="261"/>
      <x:c r="K42" s="263"/>
      <x:c r="L42" s="261"/>
      <x:c r="M42" s="261"/>
      <x:c r="N42" s="261"/>
      <x:c r="O42" s="3"/>
      <x:c r="P42" s="3"/>
      <x:c r="Q42" s="3"/>
      <x:c r="R42" s="3"/>
      <x:c r="S42" s="3"/>
      <x:c r="T42" s="3"/>
      <x:c r="U42" s="3"/>
      <x:c r="V42" s="3"/>
      <x:c r="W42" s="3"/>
      <x:c r="X42" s="3"/>
      <x:c r="Y42" s="3"/>
    </x:row>
    <x:row r="43" ht="15" hidden="0" customHeight="1">
      <x:c r="A43" s="22"/>
      <x:c r="B43" s="261"/>
      <x:c r="C43" s="261"/>
      <x:c r="D43" s="263"/>
      <x:c r="E43" s="263"/>
      <x:c r="F43" s="261"/>
      <x:c r="G43" s="262"/>
      <x:c r="H43" s="264"/>
      <x:c r="I43" s="264"/>
      <x:c r="J43" s="261"/>
      <x:c r="K43" s="263"/>
      <x:c r="L43" s="261"/>
      <x:c r="M43" s="261"/>
      <x:c r="N43" s="261"/>
      <x:c r="O43" s="3"/>
      <x:c r="P43" s="3"/>
      <x:c r="Q43" s="3"/>
      <x:c r="R43" s="3"/>
      <x:c r="S43" s="3"/>
      <x:c r="T43" s="3"/>
      <x:c r="U43" s="3"/>
      <x:c r="V43" s="3"/>
      <x:c r="W43" s="3"/>
      <x:c r="X43" s="3"/>
      <x:c r="Y43" s="3"/>
    </x:row>
    <x:row r="44" ht="15" hidden="0" customHeight="1">
      <x:c r="A44" s="22"/>
      <x:c r="B44" s="261"/>
      <x:c r="C44" s="261"/>
      <x:c r="D44" s="263"/>
      <x:c r="E44" s="263"/>
      <x:c r="F44" s="261"/>
      <x:c r="G44" s="262"/>
      <x:c r="H44" s="264"/>
      <x:c r="I44" s="264"/>
      <x:c r="J44" s="261"/>
      <x:c r="K44" s="263"/>
      <x:c r="L44" s="261"/>
      <x:c r="M44" s="261"/>
      <x:c r="N44" s="261"/>
      <x:c r="O44" s="3"/>
      <x:c r="P44" s="3"/>
      <x:c r="Q44" s="3"/>
      <x:c r="R44" s="3"/>
      <x:c r="S44" s="3"/>
      <x:c r="T44" s="3"/>
      <x:c r="U44" s="3"/>
      <x:c r="V44" s="3"/>
      <x:c r="W44" s="3"/>
      <x:c r="X44" s="3"/>
      <x:c r="Y44" s="3"/>
    </x:row>
    <x:row r="45" ht="15" hidden="0" customHeight="1">
      <x:c r="A45" s="22"/>
      <x:c r="B45" s="261"/>
      <x:c r="C45" s="261"/>
      <x:c r="D45" s="263"/>
      <x:c r="E45" s="263"/>
      <x:c r="F45" s="261"/>
      <x:c r="G45" s="262"/>
      <x:c r="H45" s="264"/>
      <x:c r="I45" s="264"/>
      <x:c r="J45" s="261"/>
      <x:c r="K45" s="263"/>
      <x:c r="L45" s="261"/>
      <x:c r="M45" s="261"/>
      <x:c r="N45" s="261"/>
      <x:c r="O45" s="3"/>
      <x:c r="P45" s="3"/>
      <x:c r="Q45" s="3"/>
      <x:c r="R45" s="3"/>
      <x:c r="S45" s="3"/>
      <x:c r="T45" s="3"/>
      <x:c r="U45" s="3"/>
      <x:c r="V45" s="3"/>
      <x:c r="W45" s="3"/>
      <x:c r="X45" s="3"/>
      <x:c r="Y45" s="3"/>
    </x:row>
    <x:row r="46" ht="15" hidden="0" customHeight="1">
      <x:c r="A46" s="22"/>
      <x:c r="B46" s="261"/>
      <x:c r="C46" s="261"/>
      <x:c r="D46" s="263"/>
      <x:c r="E46" s="263"/>
      <x:c r="F46" s="261"/>
      <x:c r="G46" s="262"/>
      <x:c r="H46" s="264"/>
      <x:c r="I46" s="264"/>
      <x:c r="J46" s="261"/>
      <x:c r="K46" s="263"/>
      <x:c r="L46" s="261"/>
      <x:c r="M46" s="261"/>
      <x:c r="N46" s="261"/>
      <x:c r="O46" s="3"/>
      <x:c r="P46" s="3"/>
      <x:c r="Q46" s="3"/>
      <x:c r="R46" s="3"/>
      <x:c r="S46" s="3"/>
      <x:c r="T46" s="3"/>
      <x:c r="U46" s="3"/>
      <x:c r="V46" s="3"/>
      <x:c r="W46" s="3"/>
      <x:c r="X46" s="3"/>
      <x:c r="Y46" s="3"/>
    </x:row>
    <x:row r="47" ht="15" hidden="0" customHeight="1">
      <x:c r="A47" s="22"/>
      <x:c r="B47" s="261"/>
      <x:c r="C47" s="261"/>
      <x:c r="D47" s="263"/>
      <x:c r="E47" s="263"/>
      <x:c r="F47" s="261"/>
      <x:c r="G47" s="262"/>
      <x:c r="H47" s="264"/>
      <x:c r="I47" s="264"/>
      <x:c r="J47" s="261"/>
      <x:c r="K47" s="263"/>
      <x:c r="L47" s="261"/>
      <x:c r="M47" s="261"/>
      <x:c r="N47" s="261"/>
      <x:c r="O47" s="3"/>
      <x:c r="P47" s="3"/>
      <x:c r="Q47" s="3"/>
      <x:c r="R47" s="3"/>
      <x:c r="S47" s="3"/>
      <x:c r="T47" s="3"/>
      <x:c r="U47" s="3"/>
      <x:c r="V47" s="3"/>
      <x:c r="W47" s="3"/>
      <x:c r="X47" s="3"/>
      <x:c r="Y47" s="3"/>
    </x:row>
    <x:row r="48" ht="15" hidden="0" customHeight="1">
      <x:c r="A48" s="22"/>
      <x:c r="B48" s="261"/>
      <x:c r="C48" s="261"/>
      <x:c r="D48" s="263"/>
      <x:c r="E48" s="263"/>
      <x:c r="F48" s="261"/>
      <x:c r="G48" s="262"/>
      <x:c r="H48" s="264"/>
      <x:c r="I48" s="264"/>
      <x:c r="J48" s="261"/>
      <x:c r="K48" s="263"/>
      <x:c r="L48" s="261"/>
      <x:c r="M48" s="261"/>
      <x:c r="N48" s="261"/>
      <x:c r="O48" s="3"/>
      <x:c r="P48" s="3"/>
      <x:c r="Q48" s="3"/>
      <x:c r="R48" s="3"/>
      <x:c r="S48" s="3"/>
      <x:c r="T48" s="3"/>
      <x:c r="U48" s="3"/>
      <x:c r="V48" s="3"/>
      <x:c r="W48" s="3"/>
      <x:c r="X48" s="3"/>
      <x:c r="Y48" s="3"/>
    </x:row>
    <x:row r="49" ht="15" hidden="0" customHeight="1">
      <x:c r="A49" s="22"/>
      <x:c r="B49" s="261"/>
      <x:c r="C49" s="261"/>
      <x:c r="D49" s="263"/>
      <x:c r="E49" s="263"/>
      <x:c r="F49" s="261"/>
      <x:c r="G49" s="262"/>
      <x:c r="H49" s="264"/>
      <x:c r="I49" s="264"/>
      <x:c r="J49" s="261"/>
      <x:c r="K49" s="263"/>
      <x:c r="L49" s="261"/>
      <x:c r="M49" s="261"/>
      <x:c r="N49" s="261"/>
      <x:c r="O49" s="3"/>
      <x:c r="P49" s="3"/>
      <x:c r="Q49" s="3"/>
      <x:c r="R49" s="3"/>
      <x:c r="S49" s="3"/>
      <x:c r="T49" s="3"/>
      <x:c r="U49" s="3"/>
      <x:c r="V49" s="3"/>
      <x:c r="W49" s="3"/>
      <x:c r="X49" s="3"/>
      <x:c r="Y49" s="3"/>
    </x:row>
    <x:row r="50" ht="15" hidden="0" customHeight="1">
      <x:c r="A50" s="22"/>
      <x:c r="B50" s="261"/>
      <x:c r="C50" s="261"/>
      <x:c r="D50" s="263"/>
      <x:c r="E50" s="263"/>
      <x:c r="F50" s="261"/>
      <x:c r="G50" s="262"/>
      <x:c r="H50" s="264"/>
      <x:c r="I50" s="264"/>
      <x:c r="J50" s="261"/>
      <x:c r="K50" s="263"/>
      <x:c r="L50" s="261"/>
      <x:c r="M50" s="261"/>
      <x:c r="N50" s="261"/>
      <x:c r="O50" s="3"/>
      <x:c r="P50" s="3"/>
      <x:c r="Q50" s="3"/>
      <x:c r="R50" s="3"/>
      <x:c r="S50" s="3"/>
      <x:c r="T50" s="3"/>
      <x:c r="U50" s="3"/>
      <x:c r="V50" s="3"/>
      <x:c r="W50" s="3"/>
      <x:c r="X50" s="3"/>
      <x:c r="Y50" s="3"/>
    </x:row>
    <x:row r="51" ht="15" hidden="0" customHeight="1">
      <x:c r="A51" s="22"/>
      <x:c r="B51" s="261"/>
      <x:c r="C51" s="261"/>
      <x:c r="D51" s="263"/>
      <x:c r="E51" s="263"/>
      <x:c r="F51" s="261"/>
      <x:c r="G51" s="262"/>
      <x:c r="H51" s="264"/>
      <x:c r="I51" s="264"/>
      <x:c r="J51" s="261"/>
      <x:c r="K51" s="263"/>
      <x:c r="L51" s="261"/>
      <x:c r="M51" s="261"/>
      <x:c r="N51" s="261"/>
      <x:c r="O51" s="3"/>
      <x:c r="P51" s="3"/>
      <x:c r="Q51" s="3"/>
      <x:c r="R51" s="3"/>
      <x:c r="S51" s="3"/>
      <x:c r="T51" s="3"/>
      <x:c r="U51" s="3"/>
      <x:c r="V51" s="3"/>
      <x:c r="W51" s="3"/>
      <x:c r="X51" s="3"/>
      <x:c r="Y51" s="3"/>
    </x:row>
    <x:row r="52" ht="15" hidden="0" customHeight="1">
      <x:c r="A52" s="22"/>
      <x:c r="B52" s="261"/>
      <x:c r="C52" s="261"/>
      <x:c r="D52" s="263"/>
      <x:c r="E52" s="263"/>
      <x:c r="F52" s="261"/>
      <x:c r="G52" s="262"/>
      <x:c r="H52" s="264"/>
      <x:c r="I52" s="264"/>
      <x:c r="J52" s="261"/>
      <x:c r="K52" s="263"/>
      <x:c r="L52" s="261"/>
      <x:c r="M52" s="261"/>
      <x:c r="N52" s="261"/>
      <x:c r="O52" s="3"/>
      <x:c r="P52" s="3"/>
      <x:c r="Q52" s="3"/>
      <x:c r="R52" s="3"/>
      <x:c r="S52" s="3"/>
      <x:c r="T52" s="3"/>
      <x:c r="U52" s="3"/>
      <x:c r="V52" s="3"/>
      <x:c r="W52" s="3"/>
      <x:c r="X52" s="3"/>
      <x:c r="Y52" s="3"/>
    </x:row>
    <x:row r="53" ht="15" hidden="0" customHeight="1">
      <x:c r="A53" s="22"/>
      <x:c r="B53" s="261"/>
      <x:c r="C53" s="261"/>
      <x:c r="D53" s="263"/>
      <x:c r="E53" s="263"/>
      <x:c r="F53" s="261"/>
      <x:c r="G53" s="262"/>
      <x:c r="H53" s="264"/>
      <x:c r="I53" s="264"/>
      <x:c r="J53" s="261"/>
      <x:c r="K53" s="263"/>
      <x:c r="L53" s="261"/>
      <x:c r="M53" s="261"/>
      <x:c r="N53" s="261"/>
      <x:c r="O53" s="3"/>
      <x:c r="P53" s="3"/>
      <x:c r="Q53" s="3"/>
      <x:c r="R53" s="3"/>
      <x:c r="S53" s="3"/>
      <x:c r="T53" s="3"/>
      <x:c r="U53" s="3"/>
      <x:c r="V53" s="3"/>
      <x:c r="W53" s="3"/>
      <x:c r="X53" s="3"/>
      <x:c r="Y53" s="3"/>
    </x:row>
    <x:row r="54" ht="15" hidden="0" customHeight="1">
      <x:c r="A54" s="22"/>
      <x:c r="B54" s="261"/>
      <x:c r="C54" s="261"/>
      <x:c r="D54" s="263"/>
      <x:c r="E54" s="263"/>
      <x:c r="F54" s="261"/>
      <x:c r="G54" s="262"/>
      <x:c r="H54" s="264"/>
      <x:c r="I54" s="264"/>
      <x:c r="J54" s="261"/>
      <x:c r="K54" s="263"/>
      <x:c r="L54" s="261"/>
      <x:c r="M54" s="261"/>
      <x:c r="N54" s="261"/>
      <x:c r="O54" s="3"/>
      <x:c r="P54" s="3"/>
      <x:c r="Q54" s="3"/>
      <x:c r="R54" s="3"/>
      <x:c r="S54" s="3"/>
      <x:c r="T54" s="3"/>
      <x:c r="U54" s="3"/>
      <x:c r="V54" s="3"/>
      <x:c r="W54" s="3"/>
      <x:c r="X54" s="3"/>
      <x:c r="Y54" s="3"/>
    </x:row>
    <x:row r="55" ht="15" hidden="0" customHeight="1">
      <x:c r="A55" s="22"/>
      <x:c r="B55" s="261"/>
      <x:c r="C55" s="261"/>
      <x:c r="D55" s="263"/>
      <x:c r="E55" s="263"/>
      <x:c r="F55" s="261"/>
      <x:c r="G55" s="262"/>
      <x:c r="H55" s="264"/>
      <x:c r="I55" s="264"/>
      <x:c r="J55" s="261"/>
      <x:c r="K55" s="263"/>
      <x:c r="L55" s="261"/>
      <x:c r="M55" s="261"/>
      <x:c r="N55" s="261"/>
      <x:c r="O55" s="3"/>
      <x:c r="P55" s="3"/>
      <x:c r="Q55" s="3"/>
      <x:c r="R55" s="3"/>
      <x:c r="S55" s="3"/>
      <x:c r="T55" s="3"/>
      <x:c r="U55" s="3"/>
      <x:c r="V55" s="3"/>
      <x:c r="W55" s="3"/>
      <x:c r="X55" s="3"/>
      <x:c r="Y55" s="3"/>
    </x:row>
    <x:row r="56" ht="15" hidden="0" customHeight="1">
      <x:c r="A56" s="22"/>
      <x:c r="B56" s="261"/>
      <x:c r="C56" s="261"/>
      <x:c r="D56" s="263"/>
      <x:c r="E56" s="263"/>
      <x:c r="F56" s="261"/>
      <x:c r="G56" s="262"/>
      <x:c r="H56" s="264"/>
      <x:c r="I56" s="264"/>
      <x:c r="J56" s="261"/>
      <x:c r="K56" s="263"/>
      <x:c r="L56" s="261"/>
      <x:c r="M56" s="261"/>
      <x:c r="N56" s="261"/>
      <x:c r="O56" s="3"/>
      <x:c r="P56" s="3"/>
      <x:c r="Q56" s="3"/>
      <x:c r="R56" s="3"/>
      <x:c r="S56" s="3"/>
      <x:c r="T56" s="3"/>
      <x:c r="U56" s="3"/>
      <x:c r="V56" s="3"/>
      <x:c r="W56" s="3"/>
      <x:c r="X56" s="3"/>
      <x:c r="Y56" s="3"/>
    </x:row>
    <x:row r="57" ht="15" hidden="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  <x:c r="T57" s="3"/>
      <x:c r="U57" s="3"/>
      <x:c r="V57" s="3"/>
      <x:c r="W57" s="3"/>
      <x:c r="X57" s="3"/>
      <x:c r="Y57" s="3"/>
    </x:row>
    <x:row r="58" ht="15" hidden="0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  <x:c r="T58" s="3"/>
      <x:c r="U58" s="3"/>
      <x:c r="V58" s="3"/>
      <x:c r="W58" s="3"/>
      <x:c r="X58" s="3"/>
      <x:c r="Y58" s="3"/>
    </x:row>
    <x:row r="59" ht="15" hidden="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  <x:c r="T59" s="3"/>
      <x:c r="U59" s="3"/>
      <x:c r="V59" s="3"/>
      <x:c r="W59" s="3"/>
      <x:c r="X59" s="3"/>
      <x:c r="Y59" s="3"/>
    </x:row>
    <x:row r="60" ht="15" hidden="0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  <x:c r="V60" s="3"/>
      <x:c r="W60" s="3"/>
      <x:c r="X60" s="3"/>
      <x:c r="Y60" s="3"/>
    </x:row>
  </x:sheetData>
  <x:mergeCells>
    <x:mergeCell ref="A1:Y2"/>
    <x:mergeCell ref="A3:Y3"/>
    <x:mergeCell ref="B5:C5"/>
    <x:mergeCell ref="E5:G5"/>
    <x:mergeCell ref="I5:J5"/>
    <x:mergeCell ref="L5:M5"/>
    <x:mergeCell ref="O5:Q5"/>
    <x:mergeCell ref="A36:N36"/>
  </x:mergeCells>
  <x:conditionalFormatting sqref="Y14:Y33">
    <x:cfRule type="containsText" dxfId="144" priority="1" operator="containsText" text="قرمز"/>
    <x:cfRule type="containsText" dxfId="145" priority="2" operator="containsText" text="بحرانی"/>
    <x:cfRule type="containsText" dxfId="146" priority="3" operator="containsText" text="رد"/>
    <x:cfRule type="containsText" dxfId="147" priority="4" operator="containsText" text="متوقف"/>
    <x:cfRule type="containsText" dxfId="148" priority="5" operator="containsText" text="عقب‌افتاده"/>
    <x:cfRule type="containsText" dxfId="149" priority="6" operator="containsText" text="نامعتبر"/>
    <x:cfRule type="containsText" dxfId="150" priority="7" operator="containsText" text="زرد"/>
    <x:cfRule type="containsText" dxfId="151" priority="8" operator="containsText" text="باز"/>
    <x:cfRule type="containsText" dxfId="152" priority="9" operator="containsText" text="نیازمند اصلاح"/>
    <x:cfRule type="containsText" dxfId="153" priority="10" operator="containsText" text="در انتظار"/>
    <x:cfRule type="containsText" dxfId="154" priority="11" operator="containsText" text="نمونه آموزشی"/>
    <x:cfRule type="containsText" dxfId="155" priority="12" operator="containsText" text="سبز"/>
    <x:cfRule type="containsText" dxfId="156" priority="13" operator="containsText" text="بسته"/>
    <x:cfRule type="containsText" dxfId="157" priority="14" operator="containsText" text="تأیید"/>
    <x:cfRule type="containsText" dxfId="158" priority="15" operator="containsText" text="آزادشده"/>
    <x:cfRule type="containsText" dxfId="159" priority="16" operator="containsText" text="انجام‌شده"/>
    <x:cfRule type="containsText" dxfId="160" priority="17" operator="containsText" text="خاکستری"/>
    <x:cfRule type="containsText" dxfId="161" priority="18" operator="containsText" text="نابالغ"/>
    <x:cfRule type="containsText" dxfId="162" priority="19" operator="containsText" text="پنجره کامل نشده"/>
    <x:cfRule type="containsText" dxfId="163" priority="20" operator="containsText" text="n.a."/>
  </x:conditionalFormatting>
  <x:conditionalFormatting sqref="J39:L56">
    <x:cfRule type="containsText" dxfId="164" priority="21" operator="containsText" text="قرمز"/>
    <x:cfRule type="containsText" dxfId="165" priority="22" operator="containsText" text="بحرانی"/>
    <x:cfRule type="containsText" dxfId="166" priority="23" operator="containsText" text="رد"/>
    <x:cfRule type="containsText" dxfId="167" priority="24" operator="containsText" text="متوقف"/>
    <x:cfRule type="containsText" dxfId="168" priority="25" operator="containsText" text="عقب‌افتاده"/>
    <x:cfRule type="containsText" dxfId="169" priority="26" operator="containsText" text="نامعتبر"/>
    <x:cfRule type="containsText" dxfId="170" priority="27" operator="containsText" text="زرد"/>
    <x:cfRule type="containsText" dxfId="171" priority="28" operator="containsText" text="باز"/>
    <x:cfRule type="containsText" dxfId="172" priority="29" operator="containsText" text="نیازمند اصلاح"/>
    <x:cfRule type="containsText" dxfId="173" priority="30" operator="containsText" text="در انتظار"/>
    <x:cfRule type="containsText" dxfId="174" priority="31" operator="containsText" text="نمونه آموزشی"/>
    <x:cfRule type="containsText" dxfId="175" priority="32" operator="containsText" text="سبز"/>
    <x:cfRule type="containsText" dxfId="176" priority="33" operator="containsText" text="بسته"/>
    <x:cfRule type="containsText" dxfId="177" priority="34" operator="containsText" text="تأیید"/>
    <x:cfRule type="containsText" dxfId="178" priority="35" operator="containsText" text="آزادشده"/>
    <x:cfRule type="containsText" dxfId="179" priority="36" operator="containsText" text="انجام‌شده"/>
    <x:cfRule type="containsText" dxfId="180" priority="37" operator="containsText" text="خاکستری"/>
    <x:cfRule type="containsText" dxfId="181" priority="38" operator="containsText" text="نابالغ"/>
    <x:cfRule type="containsText" dxfId="182" priority="39" operator="containsText" text="پنجره کامل نشده"/>
    <x:cfRule type="containsText" dxfId="183" priority="40" operator="containsText" text="n.a."/>
  </x:conditionalFormatting>
  <x:dataValidations count="3">
    <x:dataValidation type="list" sqref="C14:C33">
      <x:formula1>"فروشگاه آنلاین,مارکت‌پلیس,فروش حضوری,نماینده / توزیع‌کننده,B2B,صادرات,سایر"</x:formula1>
    </x:dataValidation>
    <x:dataValidation type="list" sqref="J39:J56">
      <x:formula1>"طراحی,در حال اجرا,در انتظار پنجره کامل,تمام‌شده,متوقف"</x:formula1>
    </x:dataValidation>
    <x:dataValidation type="list" sqref="L39:L56">
      <x:formula1>"ادامه,افزایش پلکانی,اصلاح,توقف,در انتظار داده,ادامه تا تکمیل نمونه"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8" hidden="0" customWidth="1"/>
    <x:col min="2" max="2" width="13" hidden="0" customWidth="1"/>
    <x:col min="3" max="3" width="21" hidden="0" customWidth="1"/>
    <x:col min="4" max="4" width="16" hidden="0" customWidth="1"/>
    <x:col min="5" max="5" width="16" hidden="0" customWidth="1"/>
    <x:col min="6" max="6" width="15" hidden="0" customWidth="1"/>
    <x:col min="7" max="7" width="14" hidden="0" customWidth="1"/>
    <x:col min="8" max="8" width="16" hidden="0" customWidth="1"/>
    <x:col min="9" max="9" width="15" hidden="0" customWidth="1"/>
    <x:col min="10" max="10" width="13" hidden="0" customWidth="1"/>
    <x:col min="11" max="11" width="12" hidden="0" customWidth="1"/>
    <x:col min="12" max="12" width="15" hidden="0" customWidth="1"/>
    <x:col min="13" max="13" width="15" hidden="0" customWidth="1"/>
    <x:col min="14" max="14" width="13" hidden="0" customWidth="1"/>
    <x:col min="15" max="15" width="12" hidden="0" customWidth="1"/>
    <x:col min="16" max="16" width="15" hidden="0" customWidth="1"/>
    <x:col min="17" max="17" width="15" hidden="0" customWidth="1"/>
    <x:col min="18" max="18" width="13" hidden="0" customWidth="1"/>
    <x:col min="19" max="19" width="12" hidden="0" customWidth="1"/>
    <x:col min="20" max="20" width="15" hidden="0" customWidth="1"/>
    <x:col min="21" max="21" width="15" hidden="0" customWidth="1"/>
    <x:col min="22" max="22" width="13" hidden="0" customWidth="1"/>
    <x:col min="23" max="23" width="12" hidden="0" customWidth="1"/>
    <x:col min="24" max="24" width="15" hidden="0" customWidth="1"/>
    <x:col min="25" max="25" width="16" hidden="0" customWidth="1"/>
    <x:col min="26" max="26" width="16" hidden="0" customWidth="1"/>
    <x:col min="27" max="27" width="15" hidden="0" customWidth="1"/>
    <x:col min="28" max="28" width="19" hidden="0" customWidth="1"/>
    <x:col min="29" max="29" width="29" hidden="0" customWidth="1"/>
  </x:cols>
  <x:sheetData>
    <x:row r="1" ht="34" customHeight="1">
      <x:c r="A1" s="7" t="str">
        <x:v>T07 | کوهورت مشتری و خرید تکراری</x:v>
      </x:c>
      <x:c r="B1" s="7" t="str">
        <x:v>T07 | کوهورت مشتری و خرید تکراری</x:v>
      </x:c>
      <x:c r="C1" s="7" t="str">
        <x:v>T07 | کوهورت مشتری و خرید تکراری</x:v>
      </x:c>
      <x:c r="D1" s="7" t="str">
        <x:v>T07 | کوهورت مشتری و خرید تکراری</x:v>
      </x:c>
      <x:c r="E1" s="7" t="str">
        <x:v>T07 | کوهورت مشتری و خرید تکراری</x:v>
      </x:c>
      <x:c r="F1" s="7" t="str">
        <x:v>T07 | کوهورت مشتری و خرید تکراری</x:v>
      </x:c>
      <x:c r="G1" s="7" t="str">
        <x:v>T07 | کوهورت مشتری و خرید تکراری</x:v>
      </x:c>
      <x:c r="H1" s="7" t="str">
        <x:v>T07 | کوهورت مشتری و خرید تکراری</x:v>
      </x:c>
      <x:c r="I1" s="7" t="str">
        <x:v>T07 | کوهورت مشتری و خرید تکراری</x:v>
      </x:c>
      <x:c r="J1" s="7" t="str">
        <x:v>T07 | کوهورت مشتری و خرید تکراری</x:v>
      </x:c>
      <x:c r="K1" s="7" t="str">
        <x:v>T07 | کوهورت مشتری و خرید تکراری</x:v>
      </x:c>
      <x:c r="L1" s="7" t="str">
        <x:v>T07 | کوهورت مشتری و خرید تکراری</x:v>
      </x:c>
      <x:c r="M1" s="7" t="str">
        <x:v>T07 | کوهورت مشتری و خرید تکراری</x:v>
      </x:c>
      <x:c r="N1" s="7" t="str">
        <x:v>T07 | کوهورت مشتری و خرید تکراری</x:v>
      </x:c>
      <x:c r="O1" s="7" t="str">
        <x:v>T07 | کوهورت مشتری و خرید تکراری</x:v>
      </x:c>
      <x:c r="P1" s="7" t="str">
        <x:v>T07 | کوهورت مشتری و خرید تکراری</x:v>
      </x:c>
      <x:c r="Q1" s="7" t="str">
        <x:v>T07 | کوهورت مشتری و خرید تکراری</x:v>
      </x:c>
      <x:c r="R1" s="7" t="str">
        <x:v>T07 | کوهورت مشتری و خرید تکراری</x:v>
      </x:c>
      <x:c r="S1" s="7" t="str">
        <x:v>T07 | کوهورت مشتری و خرید تکراری</x:v>
      </x:c>
      <x:c r="T1" s="7" t="str">
        <x:v>T07 | کوهورت مشتری و خرید تکراری</x:v>
      </x:c>
      <x:c r="U1" s="7" t="str">
        <x:v>T07 | کوهورت مشتری و خرید تکراری</x:v>
      </x:c>
      <x:c r="V1" s="7" t="str">
        <x:v>T07 | کوهورت مشتری و خرید تکراری</x:v>
      </x:c>
      <x:c r="W1" s="7" t="str">
        <x:v>T07 | کوهورت مشتری و خرید تکراری</x:v>
      </x:c>
      <x:c r="X1" s="7" t="str">
        <x:v>T07 | کوهورت مشتری و خرید تکراری</x:v>
      </x:c>
      <x:c r="Y1" s="7" t="str">
        <x:v>T07 | کوهورت مشتری و خرید تکراری</x:v>
      </x:c>
      <x:c r="Z1" s="7" t="str">
        <x:v>T07 | کوهورت مشتری و خرید تکراری</x:v>
      </x:c>
      <x:c r="AA1" s="7" t="str">
        <x:v>T07 | کوهورت مشتری و خرید تکراری</x:v>
      </x:c>
      <x:c r="AB1" s="7" t="str">
        <x:v>T07 | کوهورت مشتری و خرید تکراری</x:v>
      </x:c>
      <x:c r="AC1" s="7" t="str">
        <x:v>T07 | کوهورت مشتری و خرید تکراری</x:v>
      </x:c>
    </x:row>
    <x:row r="2" ht="34" customHeight="1">
      <x:c r="A2" s="7" t="str">
        <x:v>T07 | کوهورت مشتری و خرید تکراری</x:v>
      </x:c>
      <x:c r="B2" s="7" t="str">
        <x:v>T07 | کوهورت مشتری و خرید تکراری</x:v>
      </x:c>
      <x:c r="C2" s="7" t="str">
        <x:v>T07 | کوهورت مشتری و خرید تکراری</x:v>
      </x:c>
      <x:c r="D2" s="7" t="str">
        <x:v>T07 | کوهورت مشتری و خرید تکراری</x:v>
      </x:c>
      <x:c r="E2" s="7" t="str">
        <x:v>T07 | کوهورت مشتری و خرید تکراری</x:v>
      </x:c>
      <x:c r="F2" s="7" t="str">
        <x:v>T07 | کوهورت مشتری و خرید تکراری</x:v>
      </x:c>
      <x:c r="G2" s="7" t="str">
        <x:v>T07 | کوهورت مشتری و خرید تکراری</x:v>
      </x:c>
      <x:c r="H2" s="7" t="str">
        <x:v>T07 | کوهورت مشتری و خرید تکراری</x:v>
      </x:c>
      <x:c r="I2" s="7" t="str">
        <x:v>T07 | کوهورت مشتری و خرید تکراری</x:v>
      </x:c>
      <x:c r="J2" s="7" t="str">
        <x:v>T07 | کوهورت مشتری و خرید تکراری</x:v>
      </x:c>
      <x:c r="K2" s="7" t="str">
        <x:v>T07 | کوهورت مشتری و خرید تکراری</x:v>
      </x:c>
      <x:c r="L2" s="7" t="str">
        <x:v>T07 | کوهورت مشتری و خرید تکراری</x:v>
      </x:c>
      <x:c r="M2" s="7" t="str">
        <x:v>T07 | کوهورت مشتری و خرید تکراری</x:v>
      </x:c>
      <x:c r="N2" s="7" t="str">
        <x:v>T07 | کوهورت مشتری و خرید تکراری</x:v>
      </x:c>
      <x:c r="O2" s="7" t="str">
        <x:v>T07 | کوهورت مشتری و خرید تکراری</x:v>
      </x:c>
      <x:c r="P2" s="7" t="str">
        <x:v>T07 | کوهورت مشتری و خرید تکراری</x:v>
      </x:c>
      <x:c r="Q2" s="7" t="str">
        <x:v>T07 | کوهورت مشتری و خرید تکراری</x:v>
      </x:c>
      <x:c r="R2" s="7" t="str">
        <x:v>T07 | کوهورت مشتری و خرید تکراری</x:v>
      </x:c>
      <x:c r="S2" s="7" t="str">
        <x:v>T07 | کوهورت مشتری و خرید تکراری</x:v>
      </x:c>
      <x:c r="T2" s="7" t="str">
        <x:v>T07 | کوهورت مشتری و خرید تکراری</x:v>
      </x:c>
      <x:c r="U2" s="7" t="str">
        <x:v>T07 | کوهورت مشتری و خرید تکراری</x:v>
      </x:c>
      <x:c r="V2" s="7" t="str">
        <x:v>T07 | کوهورت مشتری و خرید تکراری</x:v>
      </x:c>
      <x:c r="W2" s="7" t="str">
        <x:v>T07 | کوهورت مشتری و خرید تکراری</x:v>
      </x:c>
      <x:c r="X2" s="7" t="str">
        <x:v>T07 | کوهورت مشتری و خرید تکراری</x:v>
      </x:c>
      <x:c r="Y2" s="7" t="str">
        <x:v>T07 | کوهورت مشتری و خرید تکراری</x:v>
      </x:c>
      <x:c r="Z2" s="7" t="str">
        <x:v>T07 | کوهورت مشتری و خرید تکراری</x:v>
      </x:c>
      <x:c r="AA2" s="7" t="str">
        <x:v>T07 | کوهورت مشتری و خرید تکراری</x:v>
      </x:c>
      <x:c r="AB2" s="7" t="str">
        <x:v>T07 | کوهورت مشتری و خرید تکراری</x:v>
      </x:c>
      <x:c r="AC2" s="7" t="str">
        <x:v>T07 | کوهورت مشتری و خرید تکراری</x:v>
      </x:c>
    </x:row>
    <x:row r="3" ht="15" hidden="0" customHeight="1">
      <x:c r="A3" s="89" t="str">
        <x:v>فقط مشتریانی را در مخرج تکرار بگذارید که پنجره فرصت آن‌ها کامل شده است. «هنوز تکرار نکرده» با «ریزش‌کرده» یکسان نیست.</x:v>
      </x:c>
      <x:c r="B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C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D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E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F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G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H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I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J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K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L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M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N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O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P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Q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R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S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T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U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V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W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X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Y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Z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AA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AB3" s="90" t="str">
        <x:v>فقط مشتریانی را در مخرج تکرار بگذارید که پنجره فرصت آن‌ها کامل شده است. «هنوز تکرار نکرده» با «ریزش‌کرده» یکسان نیست.</x:v>
      </x:c>
      <x:c r="AC3" s="91" t="str">
        <x:v>فقط مشتریانی را در مخرج تکرار بگذارید که پنجره فرصت آن‌ها کامل شده است. «هنوز تکرار نکرده» با «ریزش‌کرده» یکسان نیست.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</x:row>
    <x:row r="5" ht="24" hidden="0" customHeight="1">
      <x:c r="A5" s="96" t="str">
        <x:v>نرخ تکرار M1</x:v>
      </x:c>
      <x:c r="B5" s="136" t="n">
        <x:f>IF(SUM($I$9:$I$28)=0,"n.a.",SUM($J$9:$J$28)/SUM($I$9:$I$28))</x:f>
        <x:v>0.28205128205128205</x:v>
      </x:c>
      <x:c r="C5" s="96" t="str"/>
      <x:c r="D5" s="96" t="str">
        <x:v>کوهورت واجدفرصت</x:v>
      </x:c>
      <x:c r="E5" s="97" t="n">
        <x:f>COUNTIFS($I$9:$I$28,"&gt;0")</x:f>
        <x:v>4</x:v>
      </x:c>
      <x:c r="F5" s="96" t="str"/>
      <x:c r="G5" s="96" t="str">
        <x:v>LTV مشارکت به مشتری</x:v>
      </x:c>
      <x:c r="H5" s="97" t="n">
        <x:f>IF(SUM($D$9:$D$28)=0,"n.a.",SUM($Y$9:$Y$28)/SUM($D$9:$D$28))</x:f>
        <x:v>303668.7631027254</x:v>
      </x:c>
      <x:c r="I5" s="96" t="str"/>
      <x:c r="J5" s="96" t="str">
        <x:v>نسبت بازگشت CAC</x:v>
      </x:c>
      <x:c r="K5" s="144" t="n">
        <x:f>IF(SUM($E$9:$E$28)=0,"n.a.",SUM($Y$9:$Y$28)/SUM($E$9:$E$28))</x:f>
        <x:v>1.6094444444444445</x:v>
      </x:c>
      <x:c r="L5" s="96" t="str"/>
      <x:c r="M5" s="96" t="str">
        <x:v>بلوغ داده</x:v>
      </x:c>
      <x:c r="N5" s="96" t="str">
        <x:f>IF(E5=0,"نابالغ",IF(E5&lt;2,"پنجره کامل نشده","قابل مقایسه"))</x:f>
        <x:v>قابل مقایسه</x:v>
      </x:c>
      <x:c r="O5" s="96" t="str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</x:row>
    <x:row r="8" ht="15" hidden="0" customHeight="1">
      <x:c r="A8" s="41" t="str">
        <x:v>شناسه</x:v>
      </x:c>
      <x:c r="B8" s="41" t="str">
        <x:v>ماه شروع</x:v>
      </x:c>
      <x:c r="C8" s="41" t="str">
        <x:v>کانال ورود</x:v>
      </x:c>
      <x:c r="D8" s="41" t="str">
        <x:v>مشتری جذب‌شده</x:v>
      </x:c>
      <x:c r="E8" s="41" t="str">
        <x:v>هزینه جذب</x:v>
      </x:c>
      <x:c r="F8" s="41" t="str">
        <x:v>CAC</x:v>
      </x:c>
      <x:c r="G8" s="41" t="str">
        <x:v>سفارش M0</x:v>
      </x:c>
      <x:c r="H8" s="41" t="str">
        <x:v>CM2 در M0</x:v>
      </x:c>
      <x:c r="I8" s="41" t="str">
        <x:v>واجدفرصت M1</x:v>
      </x:c>
      <x:c r="J8" s="41" t="str">
        <x:v>تکرار M1</x:v>
      </x:c>
      <x:c r="K8" s="41" t="str">
        <x:v>نرخ M1</x:v>
      </x:c>
      <x:c r="L8" s="41" t="str">
        <x:v>CM2 در M1</x:v>
      </x:c>
      <x:c r="M8" s="41" t="str">
        <x:v>واجدفرصت M2</x:v>
      </x:c>
      <x:c r="N8" s="41" t="str">
        <x:v>تکرار M2</x:v>
      </x:c>
      <x:c r="O8" s="41" t="str">
        <x:v>نرخ M2</x:v>
      </x:c>
      <x:c r="P8" s="41" t="str">
        <x:v>CM2 در M2</x:v>
      </x:c>
      <x:c r="Q8" s="41" t="str">
        <x:v>واجدفرصت M3</x:v>
      </x:c>
      <x:c r="R8" s="41" t="str">
        <x:v>تکرار M3</x:v>
      </x:c>
      <x:c r="S8" s="41" t="str">
        <x:v>نرخ M3</x:v>
      </x:c>
      <x:c r="T8" s="41" t="str">
        <x:v>CM2 در M3</x:v>
      </x:c>
      <x:c r="U8" s="41" t="str">
        <x:v>واجدفرصت M6</x:v>
      </x:c>
      <x:c r="V8" s="41" t="str">
        <x:v>تکرار M6</x:v>
      </x:c>
      <x:c r="W8" s="41" t="str">
        <x:v>نرخ M6</x:v>
      </x:c>
      <x:c r="X8" s="41" t="str">
        <x:v>CM2 در M6</x:v>
      </x:c>
      <x:c r="Y8" s="41" t="str">
        <x:v>CM2 تجمعی</x:v>
      </x:c>
      <x:c r="Z8" s="41" t="str">
        <x:v>LTV مشارکت</x:v>
      </x:c>
      <x:c r="AA8" s="41" t="str">
        <x:v>بازگشت CAC</x:v>
      </x:c>
      <x:c r="AB8" s="41" t="str">
        <x:v>بلوغ</x:v>
      </x:c>
      <x:c r="AC8" s="41" t="str">
        <x:v>منبع / توضیح</x:v>
      </x:c>
    </x:row>
    <x:row r="9" ht="15" hidden="0" customHeight="1">
      <x:c r="A9" s="22" t="str">
        <x:v>COH-DEMO-01</x:v>
      </x:c>
      <x:c r="B9" s="81" t="n">
        <x:v>46266</x:v>
      </x:c>
      <x:c r="C9" s="261" t="str">
        <x:v>فروشگاه آنلاین</x:v>
      </x:c>
      <x:c r="D9" s="30" t="n">
        <x:v>127</x:v>
      </x:c>
      <x:c r="E9" s="30" t="n">
        <x:v>24000000</x:v>
      </x:c>
      <x:c r="F9" s="82" t="n">
        <x:f>IF(OR($A9="",D9=0),"n.a.",E9/D9)</x:f>
        <x:v>188976.3779527559</x:v>
      </x:c>
      <x:c r="G9" s="30" t="n">
        <x:v>182</x:v>
      </x:c>
      <x:c r="H9" s="30" t="n">
        <x:v>32000000</x:v>
      </x:c>
      <x:c r="I9" s="30" t="n">
        <x:v>127</x:v>
      </x:c>
      <x:c r="J9" s="30" t="n">
        <x:v>34</x:v>
      </x:c>
      <x:c r="K9" s="83" t="n">
        <x:f>IF(OR($A9="",I9=0),"n.a.",J9/I9)</x:f>
        <x:v>0.2677165354330709</x:v>
      </x:c>
      <x:c r="L9" s="30" t="n">
        <x:v>5500000</x:v>
      </x:c>
      <x:c r="M9" s="30" t="n">
        <x:v>120</x:v>
      </x:c>
      <x:c r="N9" s="30" t="n">
        <x:v>29</x:v>
      </x:c>
      <x:c r="O9" s="83" t="n">
        <x:f>IF(OR($A9="",M9=0),"n.a.",N9/M9)</x:f>
        <x:v>0.24166666666666667</x:v>
      </x:c>
      <x:c r="P9" s="30" t="n">
        <x:v>4700000</x:v>
      </x:c>
      <x:c r="Q9" s="30" t="n">
        <x:v>112</x:v>
      </x:c>
      <x:c r="R9" s="30" t="n">
        <x:v>24</x:v>
      </x:c>
      <x:c r="S9" s="83" t="n">
        <x:f>IF(OR($A9="",Q9=0),"n.a.",R9/Q9)</x:f>
        <x:v>0.21428571428571427</x:v>
      </x:c>
      <x:c r="T9" s="30" t="n">
        <x:v>3900000</x:v>
      </x:c>
      <x:c r="U9" s="30" t="n">
        <x:v>0</x:v>
      </x:c>
      <x:c r="V9" s="30" t="n">
        <x:v>0</x:v>
      </x:c>
      <x:c r="W9" s="83" t="str">
        <x:f>IF(OR($A9="",U9=0),"n.a.",V9/U9)</x:f>
        <x:v>n.a.</x:v>
      </x:c>
      <x:c r="X9" s="30" t="n">
        <x:v>0</x:v>
      </x:c>
      <x:c r="Y9" s="82" t="n">
        <x:f>IF($A9="","",SUM(H9,L9,P9,T9,X9))</x:f>
        <x:v>46100000</x:v>
      </x:c>
      <x:c r="Z9" s="82" t="n">
        <x:f>IF(OR($A9="",D9=0),"n.a.",Y9/D9)</x:f>
        <x:v>362992.12598425196</x:v>
      </x:c>
      <x:c r="AA9" s="142" t="n">
        <x:f>IF(OR($A9="",E9=0),"n.a.",Y9/E9)</x:f>
        <x:v>1.9208333333333334</x:v>
      </x:c>
      <x:c r="AB9" s="232" t="str">
        <x:f>IF($A9="","",IF(U9&gt;0,"پنجره ۶ ماه کامل",IF(Q9&gt;0,"پنجره ۳ ماه کامل",IF(M9&gt;0,"پنجره ۲ ماه کامل",IF(I9&gt;0,"پنجره ۱ ماه کامل","نابالغ")))))</x:f>
        <x:v>پنجره ۳ ماه کامل</x:v>
      </x:c>
      <x:c r="AC9" s="261" t="str">
        <x:v>SRC-DEMO / نمونه آموزشی</x:v>
      </x:c>
    </x:row>
    <x:row r="10" ht="15" hidden="0" customHeight="1">
      <x:c r="A10" s="22" t="str">
        <x:v>COH-DEMO-02</x:v>
      </x:c>
      <x:c r="B10" s="81" t="n">
        <x:v>46296</x:v>
      </x:c>
      <x:c r="C10" s="261" t="str">
        <x:v>فروشگاه آنلاین</x:v>
      </x:c>
      <x:c r="D10" s="30" t="n">
        <x:v>140</x:v>
      </x:c>
      <x:c r="E10" s="30" t="n">
        <x:v>26400000</x:v>
      </x:c>
      <x:c r="F10" s="82" t="n">
        <x:f>IF(OR($A10="",D10=0),"n.a.",E10/D10)</x:f>
        <x:v>188571.42857142858</x:v>
      </x:c>
      <x:c r="G10" s="30" t="n">
        <x:v>200</x:v>
      </x:c>
      <x:c r="H10" s="30" t="n">
        <x:v>35200000</x:v>
      </x:c>
      <x:c r="I10" s="30" t="n">
        <x:v>140</x:v>
      </x:c>
      <x:c r="J10" s="30" t="n">
        <x:v>39</x:v>
      </x:c>
      <x:c r="K10" s="83" t="n">
        <x:f>IF(OR($A10="",I10=0),"n.a.",J10/I10)</x:f>
        <x:v>0.2785714285714286</x:v>
      </x:c>
      <x:c r="L10" s="30" t="n">
        <x:v>6300000</x:v>
      </x:c>
      <x:c r="M10" s="30" t="n">
        <x:v>132</x:v>
      </x:c>
      <x:c r="N10" s="30" t="n">
        <x:v>31</x:v>
      </x:c>
      <x:c r="O10" s="83" t="n">
        <x:f>IF(OR($A10="",M10=0),"n.a.",N10/M10)</x:f>
        <x:v>0.23484848484848486</x:v>
      </x:c>
      <x:c r="P10" s="30" t="n">
        <x:v>5000000</x:v>
      </x:c>
      <x:c r="Q10" s="30" t="n">
        <x:v>123</x:v>
      </x:c>
      <x:c r="R10" s="30" t="n">
        <x:v>25</x:v>
      </x:c>
      <x:c r="S10" s="83" t="n">
        <x:f>IF(OR($A10="",Q10=0),"n.a.",R10/Q10)</x:f>
        <x:v>0.2032520325203252</x:v>
      </x:c>
      <x:c r="T10" s="30" t="n">
        <x:v>4100000</x:v>
      </x:c>
      <x:c r="U10" s="30" t="n">
        <x:v>0</x:v>
      </x:c>
      <x:c r="V10" s="30" t="n">
        <x:v>0</x:v>
      </x:c>
      <x:c r="W10" s="83" t="str">
        <x:f>IF(OR($A10="",U10=0),"n.a.",V10/U10)</x:f>
        <x:v>n.a.</x:v>
      </x:c>
      <x:c r="X10" s="30" t="n">
        <x:v>0</x:v>
      </x:c>
      <x:c r="Y10" s="82" t="n">
        <x:f>IF($A10="","",SUM(H10,L10,P10,T10,X10))</x:f>
        <x:v>50600000</x:v>
      </x:c>
      <x:c r="Z10" s="82" t="n">
        <x:f>IF(OR($A10="",D10=0),"n.a.",Y10/D10)</x:f>
        <x:v>361428.5714285714</x:v>
      </x:c>
      <x:c r="AA10" s="142" t="n">
        <x:f>IF(OR($A10="",E10=0),"n.a.",Y10/E10)</x:f>
        <x:v>1.9166666666666667</x:v>
      </x:c>
      <x:c r="AB10" s="232" t="str">
        <x:f>IF($A10="","",IF(U10&gt;0,"پنجره ۶ ماه کامل",IF(Q10&gt;0,"پنجره ۳ ماه کامل",IF(M10&gt;0,"پنجره ۲ ماه کامل",IF(I10&gt;0,"پنجره ۱ ماه کامل","نابالغ")))))</x:f>
        <x:v>پنجره ۳ ماه کامل</x:v>
      </x:c>
      <x:c r="AC10" s="261" t="str">
        <x:v>SRC-DEMO / نمونه آموزشی</x:v>
      </x:c>
    </x:row>
    <x:row r="11" ht="15" hidden="0" customHeight="1">
      <x:c r="A11" s="22" t="str">
        <x:v>COH-DEMO-03</x:v>
      </x:c>
      <x:c r="B11" s="81" t="n">
        <x:v>46327</x:v>
      </x:c>
      <x:c r="C11" s="261" t="str">
        <x:v>فروشگاه آنلاین</x:v>
      </x:c>
      <x:c r="D11" s="30" t="n">
        <x:v>153</x:v>
      </x:c>
      <x:c r="E11" s="30" t="n">
        <x:v>28800000</x:v>
      </x:c>
      <x:c r="F11" s="82" t="n">
        <x:f>IF(OR($A11="",D11=0),"n.a.",E11/D11)</x:f>
        <x:v>188235.29411764705</x:v>
      </x:c>
      <x:c r="G11" s="30" t="n">
        <x:v>218</x:v>
      </x:c>
      <x:c r="H11" s="30" t="n">
        <x:v>38400000</x:v>
      </x:c>
      <x:c r="I11" s="30" t="n">
        <x:v>153</x:v>
      </x:c>
      <x:c r="J11" s="30" t="n">
        <x:v>45</x:v>
      </x:c>
      <x:c r="K11" s="83" t="n">
        <x:f>IF(OR($A11="",I11=0),"n.a.",J11/I11)</x:f>
        <x:v>0.29411764705882354</x:v>
      </x:c>
      <x:c r="L11" s="30" t="n">
        <x:v>7200000</x:v>
      </x:c>
      <x:c r="M11" s="30" t="n">
        <x:v>145</x:v>
      </x:c>
      <x:c r="N11" s="30" t="n">
        <x:v>34</x:v>
      </x:c>
      <x:c r="O11" s="83" t="n">
        <x:f>IF(OR($A11="",M11=0),"n.a.",N11/M11)</x:f>
        <x:v>0.23448275862068965</x:v>
      </x:c>
      <x:c r="P11" s="30" t="n">
        <x:v>5500000</x:v>
      </x:c>
      <x:c r="Q11" s="30" t="n">
        <x:v>0</x:v>
      </x:c>
      <x:c r="R11" s="30" t="n">
        <x:v>0</x:v>
      </x:c>
      <x:c r="S11" s="83" t="str">
        <x:f>IF(OR($A11="",Q11=0),"n.a.",R11/Q11)</x:f>
        <x:v>n.a.</x:v>
      </x:c>
      <x:c r="T11" s="30" t="n">
        <x:v>0</x:v>
      </x:c>
      <x:c r="U11" s="30" t="n">
        <x:v>0</x:v>
      </x:c>
      <x:c r="V11" s="30" t="n">
        <x:v>0</x:v>
      </x:c>
      <x:c r="W11" s="83" t="str">
        <x:f>IF(OR($A11="",U11=0),"n.a.",V11/U11)</x:f>
        <x:v>n.a.</x:v>
      </x:c>
      <x:c r="X11" s="30" t="n">
        <x:v>0</x:v>
      </x:c>
      <x:c r="Y11" s="82" t="n">
        <x:f>IF($A11="","",SUM(H11,L11,P11,T11,X11))</x:f>
        <x:v>51100000</x:v>
      </x:c>
      <x:c r="Z11" s="82" t="n">
        <x:f>IF(OR($A11="",D11=0),"n.a.",Y11/D11)</x:f>
        <x:v>333986.92810457514</x:v>
      </x:c>
      <x:c r="AA11" s="142" t="n">
        <x:f>IF(OR($A11="",E11=0),"n.a.",Y11/E11)</x:f>
        <x:v>1.7743055555555556</x:v>
      </x:c>
      <x:c r="AB11" s="232" t="str">
        <x:f>IF($A11="","",IF(U11&gt;0,"پنجره ۶ ماه کامل",IF(Q11&gt;0,"پنجره ۳ ماه کامل",IF(M11&gt;0,"پنجره ۲ ماه کامل",IF(I11&gt;0,"پنجره ۱ ماه کامل","نابالغ")))))</x:f>
        <x:v>پنجره ۲ ماه کامل</x:v>
      </x:c>
      <x:c r="AC11" s="261" t="str">
        <x:v>SRC-DEMO / نمونه آموزشی</x:v>
      </x:c>
    </x:row>
    <x:row r="12" ht="15" hidden="0" customHeight="1">
      <x:c r="A12" s="22" t="str">
        <x:v>COH-DEMO-04</x:v>
      </x:c>
      <x:c r="B12" s="81" t="n">
        <x:v>46357</x:v>
      </x:c>
      <x:c r="C12" s="261" t="str">
        <x:v>فروشگاه آنلاین</x:v>
      </x:c>
      <x:c r="D12" s="30" t="n">
        <x:v>165</x:v>
      </x:c>
      <x:c r="E12" s="30" t="n">
        <x:v>31200000</x:v>
      </x:c>
      <x:c r="F12" s="82" t="n">
        <x:f>IF(OR($A12="",D12=0),"n.a.",E12/D12)</x:f>
        <x:v>189090.9090909091</x:v>
      </x:c>
      <x:c r="G12" s="30" t="n">
        <x:v>236</x:v>
      </x:c>
      <x:c r="H12" s="30" t="n">
        <x:v>41600000</x:v>
      </x:c>
      <x:c r="I12" s="30" t="n">
        <x:v>165</x:v>
      </x:c>
      <x:c r="J12" s="30" t="n">
        <x:v>47</x:v>
      </x:c>
      <x:c r="K12" s="83" t="n">
        <x:f>IF(OR($A12="",I12=0),"n.a.",J12/I12)</x:f>
        <x:v>0.28484848484848485</x:v>
      </x:c>
      <x:c r="L12" s="30" t="n">
        <x:v>7500000</x:v>
      </x:c>
      <x:c r="M12" s="30" t="n">
        <x:v>0</x:v>
      </x:c>
      <x:c r="N12" s="30" t="n">
        <x:v>0</x:v>
      </x:c>
      <x:c r="O12" s="83" t="str">
        <x:f>IF(OR($A12="",M12=0),"n.a.",N12/M12)</x:f>
        <x:v>n.a.</x:v>
      </x:c>
      <x:c r="P12" s="30" t="n">
        <x:v>0</x:v>
      </x:c>
      <x:c r="Q12" s="30" t="n">
        <x:v>0</x:v>
      </x:c>
      <x:c r="R12" s="30" t="n">
        <x:v>0</x:v>
      </x:c>
      <x:c r="S12" s="83" t="str">
        <x:f>IF(OR($A12="",Q12=0),"n.a.",R12/Q12)</x:f>
        <x:v>n.a.</x:v>
      </x:c>
      <x:c r="T12" s="30" t="n">
        <x:v>0</x:v>
      </x:c>
      <x:c r="U12" s="30" t="n">
        <x:v>0</x:v>
      </x:c>
      <x:c r="V12" s="30" t="n">
        <x:v>0</x:v>
      </x:c>
      <x:c r="W12" s="83" t="str">
        <x:f>IF(OR($A12="",U12=0),"n.a.",V12/U12)</x:f>
        <x:v>n.a.</x:v>
      </x:c>
      <x:c r="X12" s="30" t="n">
        <x:v>0</x:v>
      </x:c>
      <x:c r="Y12" s="82" t="n">
        <x:f>IF($A12="","",SUM(H12,L12,P12,T12,X12))</x:f>
        <x:v>49100000</x:v>
      </x:c>
      <x:c r="Z12" s="82" t="n">
        <x:f>IF(OR($A12="",D12=0),"n.a.",Y12/D12)</x:f>
        <x:v>297575.75757575757</x:v>
      </x:c>
      <x:c r="AA12" s="142" t="n">
        <x:f>IF(OR($A12="",E12=0),"n.a.",Y12/E12)</x:f>
        <x:v>1.5737179487179487</x:v>
      </x:c>
      <x:c r="AB12" s="232" t="str">
        <x:f>IF($A12="","",IF(U12&gt;0,"پنجره ۶ ماه کامل",IF(Q12&gt;0,"پنجره ۳ ماه کامل",IF(M12&gt;0,"پنجره ۲ ماه کامل",IF(I12&gt;0,"پنجره ۱ ماه کامل","نابالغ")))))</x:f>
        <x:v>پنجره ۱ ماه کامل</x:v>
      </x:c>
      <x:c r="AC12" s="261" t="str">
        <x:v>SRC-DEMO / نمونه آموزشی</x:v>
      </x:c>
    </x:row>
    <x:row r="13" ht="15" hidden="0" customHeight="1">
      <x:c r="A13" s="22" t="str">
        <x:v>COH-DEMO-05</x:v>
      </x:c>
      <x:c r="B13" s="81" t="n">
        <x:v>46388</x:v>
      </x:c>
      <x:c r="C13" s="261" t="str">
        <x:v>فروشگاه آنلاین</x:v>
      </x:c>
      <x:c r="D13" s="30" t="n">
        <x:v>178</x:v>
      </x:c>
      <x:c r="E13" s="30" t="n">
        <x:v>33600000</x:v>
      </x:c>
      <x:c r="F13" s="82" t="n">
        <x:f>IF(OR($A13="",D13=0),"n.a.",E13/D13)</x:f>
        <x:v>188764.04494382022</x:v>
      </x:c>
      <x:c r="G13" s="30" t="n">
        <x:v>255</x:v>
      </x:c>
      <x:c r="H13" s="30" t="n">
        <x:v>44800000</x:v>
      </x:c>
      <x:c r="I13" s="30" t="n">
        <x:v>0</x:v>
      </x:c>
      <x:c r="J13" s="30" t="n">
        <x:v>0</x:v>
      </x:c>
      <x:c r="K13" s="83" t="str">
        <x:f>IF(OR($A13="",I13=0),"n.a.",J13/I13)</x:f>
        <x:v>n.a.</x:v>
      </x:c>
      <x:c r="L13" s="30" t="n">
        <x:v>0</x:v>
      </x:c>
      <x:c r="M13" s="30" t="n">
        <x:v>0</x:v>
      </x:c>
      <x:c r="N13" s="30" t="n">
        <x:v>0</x:v>
      </x:c>
      <x:c r="O13" s="83" t="str">
        <x:f>IF(OR($A13="",M13=0),"n.a.",N13/M13)</x:f>
        <x:v>n.a.</x:v>
      </x:c>
      <x:c r="P13" s="30" t="n">
        <x:v>0</x:v>
      </x:c>
      <x:c r="Q13" s="30" t="n">
        <x:v>0</x:v>
      </x:c>
      <x:c r="R13" s="30" t="n">
        <x:v>0</x:v>
      </x:c>
      <x:c r="S13" s="83" t="str">
        <x:f>IF(OR($A13="",Q13=0),"n.a.",R13/Q13)</x:f>
        <x:v>n.a.</x:v>
      </x:c>
      <x:c r="T13" s="30" t="n">
        <x:v>0</x:v>
      </x:c>
      <x:c r="U13" s="30" t="n">
        <x:v>0</x:v>
      </x:c>
      <x:c r="V13" s="30" t="n">
        <x:v>0</x:v>
      </x:c>
      <x:c r="W13" s="83" t="str">
        <x:f>IF(OR($A13="",U13=0),"n.a.",V13/U13)</x:f>
        <x:v>n.a.</x:v>
      </x:c>
      <x:c r="X13" s="30" t="n">
        <x:v>0</x:v>
      </x:c>
      <x:c r="Y13" s="82" t="n">
        <x:f>IF($A13="","",SUM(H13,L13,P13,T13,X13))</x:f>
        <x:v>44800000</x:v>
      </x:c>
      <x:c r="Z13" s="82" t="n">
        <x:f>IF(OR($A13="",D13=0),"n.a.",Y13/D13)</x:f>
        <x:v>251685.39325842698</x:v>
      </x:c>
      <x:c r="AA13" s="142" t="n">
        <x:f>IF(OR($A13="",E13=0),"n.a.",Y13/E13)</x:f>
        <x:v>1.3333333333333333</x:v>
      </x:c>
      <x:c r="AB13" s="232" t="str">
        <x:f>IF($A13="","",IF(U13&gt;0,"پنجره ۶ ماه کامل",IF(Q13&gt;0,"پنجره ۳ ماه کامل",IF(M13&gt;0,"پنجره ۲ ماه کامل",IF(I13&gt;0,"پنجره ۱ ماه کامل","نابالغ")))))</x:f>
        <x:v>نابالغ</x:v>
      </x:c>
      <x:c r="AC13" s="261" t="str">
        <x:v>SRC-DEMO / نمونه آموزشی</x:v>
      </x:c>
    </x:row>
    <x:row r="14" ht="15" hidden="0" customHeight="1">
      <x:c r="A14" s="22" t="str">
        <x:v>COH-DEMO-06</x:v>
      </x:c>
      <x:c r="B14" s="81" t="n">
        <x:v>46419</x:v>
      </x:c>
      <x:c r="C14" s="261" t="str">
        <x:v>فروشگاه آنلاین</x:v>
      </x:c>
      <x:c r="D14" s="30" t="n">
        <x:v>191</x:v>
      </x:c>
      <x:c r="E14" s="30" t="n">
        <x:v>36000000</x:v>
      </x:c>
      <x:c r="F14" s="82" t="n">
        <x:f>IF(OR($A14="",D14=0),"n.a.",E14/D14)</x:f>
        <x:v>188481.67539267015</x:v>
      </x:c>
      <x:c r="G14" s="30" t="n">
        <x:v>273</x:v>
      </x:c>
      <x:c r="H14" s="30" t="n">
        <x:v>48000000</x:v>
      </x:c>
      <x:c r="I14" s="30" t="n">
        <x:v>0</x:v>
      </x:c>
      <x:c r="J14" s="30" t="n">
        <x:v>0</x:v>
      </x:c>
      <x:c r="K14" s="83" t="str">
        <x:f>IF(OR($A14="",I14=0),"n.a.",J14/I14)</x:f>
        <x:v>n.a.</x:v>
      </x:c>
      <x:c r="L14" s="30" t="n">
        <x:v>0</x:v>
      </x:c>
      <x:c r="M14" s="30" t="n">
        <x:v>0</x:v>
      </x:c>
      <x:c r="N14" s="30" t="n">
        <x:v>0</x:v>
      </x:c>
      <x:c r="O14" s="83" t="str">
        <x:f>IF(OR($A14="",M14=0),"n.a.",N14/M14)</x:f>
        <x:v>n.a.</x:v>
      </x:c>
      <x:c r="P14" s="30" t="n">
        <x:v>0</x:v>
      </x:c>
      <x:c r="Q14" s="30" t="n">
        <x:v>0</x:v>
      </x:c>
      <x:c r="R14" s="30" t="n">
        <x:v>0</x:v>
      </x:c>
      <x:c r="S14" s="83" t="str">
        <x:f>IF(OR($A14="",Q14=0),"n.a.",R14/Q14)</x:f>
        <x:v>n.a.</x:v>
      </x:c>
      <x:c r="T14" s="30" t="n">
        <x:v>0</x:v>
      </x:c>
      <x:c r="U14" s="30" t="n">
        <x:v>0</x:v>
      </x:c>
      <x:c r="V14" s="30" t="n">
        <x:v>0</x:v>
      </x:c>
      <x:c r="W14" s="83" t="str">
        <x:f>IF(OR($A14="",U14=0),"n.a.",V14/U14)</x:f>
        <x:v>n.a.</x:v>
      </x:c>
      <x:c r="X14" s="30" t="n">
        <x:v>0</x:v>
      </x:c>
      <x:c r="Y14" s="82" t="n">
        <x:f>IF($A14="","",SUM(H14,L14,P14,T14,X14))</x:f>
        <x:v>48000000</x:v>
      </x:c>
      <x:c r="Z14" s="82" t="n">
        <x:f>IF(OR($A14="",D14=0),"n.a.",Y14/D14)</x:f>
        <x:v>251308.9005235602</x:v>
      </x:c>
      <x:c r="AA14" s="142" t="n">
        <x:f>IF(OR($A14="",E14=0),"n.a.",Y14/E14)</x:f>
        <x:v>1.3333333333333333</x:v>
      </x:c>
      <x:c r="AB14" s="232" t="str">
        <x:f>IF($A14="","",IF(U14&gt;0,"پنجره ۶ ماه کامل",IF(Q14&gt;0,"پنجره ۳ ماه کامل",IF(M14&gt;0,"پنجره ۲ ماه کامل",IF(I14&gt;0,"پنجره ۱ ماه کامل","نابالغ")))))</x:f>
        <x:v>نابالغ</x:v>
      </x:c>
      <x:c r="AC14" s="261" t="str">
        <x:v>SRC-DEMO / نمونه آموزشی</x:v>
      </x:c>
    </x:row>
    <x:row r="15" ht="15" hidden="0" customHeight="1">
      <x:c r="A15" s="22"/>
      <x:c r="B15" s="81"/>
      <x:c r="C15" s="261"/>
      <x:c r="D15" s="30"/>
      <x:c r="E15" s="30"/>
      <x:c r="F15" s="82" t="str">
        <x:f>IF(OR($A15="",D15=0),"n.a.",E15/D15)</x:f>
        <x:v>n.a.</x:v>
      </x:c>
      <x:c r="G15" s="30"/>
      <x:c r="H15" s="30"/>
      <x:c r="I15" s="30"/>
      <x:c r="J15" s="30"/>
      <x:c r="K15" s="83" t="str">
        <x:f>IF(OR($A15="",I15=0),"n.a.",J15/I15)</x:f>
        <x:v>n.a.</x:v>
      </x:c>
      <x:c r="L15" s="30"/>
      <x:c r="M15" s="30"/>
      <x:c r="N15" s="30"/>
      <x:c r="O15" s="83" t="str">
        <x:f>IF(OR($A15="",M15=0),"n.a.",N15/M15)</x:f>
        <x:v>n.a.</x:v>
      </x:c>
      <x:c r="P15" s="30"/>
      <x:c r="Q15" s="30"/>
      <x:c r="R15" s="30"/>
      <x:c r="S15" s="83" t="str">
        <x:f>IF(OR($A15="",Q15=0),"n.a.",R15/Q15)</x:f>
        <x:v>n.a.</x:v>
      </x:c>
      <x:c r="T15" s="30"/>
      <x:c r="U15" s="30"/>
      <x:c r="V15" s="30"/>
      <x:c r="W15" s="83" t="str">
        <x:f>IF(OR($A15="",U15=0),"n.a.",V15/U15)</x:f>
        <x:v>n.a.</x:v>
      </x:c>
      <x:c r="X15" s="30"/>
      <x:c r="Y15" s="82" t="str">
        <x:f>IF($A15="","",SUM(H15,L15,P15,T15,X15))</x:f>
      </x:c>
      <x:c r="Z15" s="82" t="str">
        <x:f>IF(OR($A15="",D15=0),"n.a.",Y15/D15)</x:f>
        <x:v>n.a.</x:v>
      </x:c>
      <x:c r="AA15" s="142" t="str">
        <x:f>IF(OR($A15="",E15=0),"n.a.",Y15/E15)</x:f>
        <x:v>n.a.</x:v>
      </x:c>
      <x:c r="AB15" s="232" t="str">
        <x:f>IF($A15="","",IF(U15&gt;0,"پنجره ۶ ماه کامل",IF(Q15&gt;0,"پنجره ۳ ماه کامل",IF(M15&gt;0,"پنجره ۲ ماه کامل",IF(I15&gt;0,"پنجره ۱ ماه کامل","نابالغ")))))</x:f>
      </x:c>
      <x:c r="AC15" s="261"/>
    </x:row>
    <x:row r="16" ht="15" hidden="0" customHeight="1">
      <x:c r="A16" s="22"/>
      <x:c r="B16" s="81"/>
      <x:c r="C16" s="261"/>
      <x:c r="D16" s="30"/>
      <x:c r="E16" s="30"/>
      <x:c r="F16" s="82" t="str">
        <x:f>IF(OR($A16="",D16=0),"n.a.",E16/D16)</x:f>
        <x:v>n.a.</x:v>
      </x:c>
      <x:c r="G16" s="30"/>
      <x:c r="H16" s="30"/>
      <x:c r="I16" s="30"/>
      <x:c r="J16" s="30"/>
      <x:c r="K16" s="83" t="str">
        <x:f>IF(OR($A16="",I16=0),"n.a.",J16/I16)</x:f>
        <x:v>n.a.</x:v>
      </x:c>
      <x:c r="L16" s="30"/>
      <x:c r="M16" s="30"/>
      <x:c r="N16" s="30"/>
      <x:c r="O16" s="83" t="str">
        <x:f>IF(OR($A16="",M16=0),"n.a.",N16/M16)</x:f>
        <x:v>n.a.</x:v>
      </x:c>
      <x:c r="P16" s="30"/>
      <x:c r="Q16" s="30"/>
      <x:c r="R16" s="30"/>
      <x:c r="S16" s="83" t="str">
        <x:f>IF(OR($A16="",Q16=0),"n.a.",R16/Q16)</x:f>
        <x:v>n.a.</x:v>
      </x:c>
      <x:c r="T16" s="30"/>
      <x:c r="U16" s="30"/>
      <x:c r="V16" s="30"/>
      <x:c r="W16" s="83" t="str">
        <x:f>IF(OR($A16="",U16=0),"n.a.",V16/U16)</x:f>
        <x:v>n.a.</x:v>
      </x:c>
      <x:c r="X16" s="30"/>
      <x:c r="Y16" s="82" t="str">
        <x:f>IF($A16="","",SUM(H16,L16,P16,T16,X16))</x:f>
      </x:c>
      <x:c r="Z16" s="82" t="str">
        <x:f>IF(OR($A16="",D16=0),"n.a.",Y16/D16)</x:f>
        <x:v>n.a.</x:v>
      </x:c>
      <x:c r="AA16" s="142" t="str">
        <x:f>IF(OR($A16="",E16=0),"n.a.",Y16/E16)</x:f>
        <x:v>n.a.</x:v>
      </x:c>
      <x:c r="AB16" s="232" t="str">
        <x:f>IF($A16="","",IF(U16&gt;0,"پنجره ۶ ماه کامل",IF(Q16&gt;0,"پنجره ۳ ماه کامل",IF(M16&gt;0,"پنجره ۲ ماه کامل",IF(I16&gt;0,"پنجره ۱ ماه کامل","نابالغ")))))</x:f>
      </x:c>
      <x:c r="AC16" s="261"/>
    </x:row>
    <x:row r="17" ht="15" hidden="0" customHeight="1">
      <x:c r="A17" s="22"/>
      <x:c r="B17" s="81"/>
      <x:c r="C17" s="261"/>
      <x:c r="D17" s="30"/>
      <x:c r="E17" s="30"/>
      <x:c r="F17" s="82" t="str">
        <x:f>IF(OR($A17="",D17=0),"n.a.",E17/D17)</x:f>
        <x:v>n.a.</x:v>
      </x:c>
      <x:c r="G17" s="30"/>
      <x:c r="H17" s="30"/>
      <x:c r="I17" s="30"/>
      <x:c r="J17" s="30"/>
      <x:c r="K17" s="83" t="str">
        <x:f>IF(OR($A17="",I17=0),"n.a.",J17/I17)</x:f>
        <x:v>n.a.</x:v>
      </x:c>
      <x:c r="L17" s="30"/>
      <x:c r="M17" s="30"/>
      <x:c r="N17" s="30"/>
      <x:c r="O17" s="83" t="str">
        <x:f>IF(OR($A17="",M17=0),"n.a.",N17/M17)</x:f>
        <x:v>n.a.</x:v>
      </x:c>
      <x:c r="P17" s="30"/>
      <x:c r="Q17" s="30"/>
      <x:c r="R17" s="30"/>
      <x:c r="S17" s="83" t="str">
        <x:f>IF(OR($A17="",Q17=0),"n.a.",R17/Q17)</x:f>
        <x:v>n.a.</x:v>
      </x:c>
      <x:c r="T17" s="30"/>
      <x:c r="U17" s="30"/>
      <x:c r="V17" s="30"/>
      <x:c r="W17" s="83" t="str">
        <x:f>IF(OR($A17="",U17=0),"n.a.",V17/U17)</x:f>
        <x:v>n.a.</x:v>
      </x:c>
      <x:c r="X17" s="30"/>
      <x:c r="Y17" s="82" t="str">
        <x:f>IF($A17="","",SUM(H17,L17,P17,T17,X17))</x:f>
      </x:c>
      <x:c r="Z17" s="82" t="str">
        <x:f>IF(OR($A17="",D17=0),"n.a.",Y17/D17)</x:f>
        <x:v>n.a.</x:v>
      </x:c>
      <x:c r="AA17" s="142" t="str">
        <x:f>IF(OR($A17="",E17=0),"n.a.",Y17/E17)</x:f>
        <x:v>n.a.</x:v>
      </x:c>
      <x:c r="AB17" s="232" t="str">
        <x:f>IF($A17="","",IF(U17&gt;0,"پنجره ۶ ماه کامل",IF(Q17&gt;0,"پنجره ۳ ماه کامل",IF(M17&gt;0,"پنجره ۲ ماه کامل",IF(I17&gt;0,"پنجره ۱ ماه کامل","نابالغ")))))</x:f>
      </x:c>
      <x:c r="AC17" s="261"/>
    </x:row>
    <x:row r="18" ht="15" hidden="0" customHeight="1">
      <x:c r="A18" s="22"/>
      <x:c r="B18" s="81"/>
      <x:c r="C18" s="261"/>
      <x:c r="D18" s="30"/>
      <x:c r="E18" s="30"/>
      <x:c r="F18" s="82" t="str">
        <x:f>IF(OR($A18="",D18=0),"n.a.",E18/D18)</x:f>
        <x:v>n.a.</x:v>
      </x:c>
      <x:c r="G18" s="30"/>
      <x:c r="H18" s="30"/>
      <x:c r="I18" s="30"/>
      <x:c r="J18" s="30"/>
      <x:c r="K18" s="83" t="str">
        <x:f>IF(OR($A18="",I18=0),"n.a.",J18/I18)</x:f>
        <x:v>n.a.</x:v>
      </x:c>
      <x:c r="L18" s="30"/>
      <x:c r="M18" s="30"/>
      <x:c r="N18" s="30"/>
      <x:c r="O18" s="83" t="str">
        <x:f>IF(OR($A18="",M18=0),"n.a.",N18/M18)</x:f>
        <x:v>n.a.</x:v>
      </x:c>
      <x:c r="P18" s="30"/>
      <x:c r="Q18" s="30"/>
      <x:c r="R18" s="30"/>
      <x:c r="S18" s="83" t="str">
        <x:f>IF(OR($A18="",Q18=0),"n.a.",R18/Q18)</x:f>
        <x:v>n.a.</x:v>
      </x:c>
      <x:c r="T18" s="30"/>
      <x:c r="U18" s="30"/>
      <x:c r="V18" s="30"/>
      <x:c r="W18" s="83" t="str">
        <x:f>IF(OR($A18="",U18=0),"n.a.",V18/U18)</x:f>
        <x:v>n.a.</x:v>
      </x:c>
      <x:c r="X18" s="30"/>
      <x:c r="Y18" s="82" t="str">
        <x:f>IF($A18="","",SUM(H18,L18,P18,T18,X18))</x:f>
      </x:c>
      <x:c r="Z18" s="82" t="str">
        <x:f>IF(OR($A18="",D18=0),"n.a.",Y18/D18)</x:f>
        <x:v>n.a.</x:v>
      </x:c>
      <x:c r="AA18" s="142" t="str">
        <x:f>IF(OR($A18="",E18=0),"n.a.",Y18/E18)</x:f>
        <x:v>n.a.</x:v>
      </x:c>
      <x:c r="AB18" s="232" t="str">
        <x:f>IF($A18="","",IF(U18&gt;0,"پنجره ۶ ماه کامل",IF(Q18&gt;0,"پنجره ۳ ماه کامل",IF(M18&gt;0,"پنجره ۲ ماه کامل",IF(I18&gt;0,"پنجره ۱ ماه کامل","نابالغ")))))</x:f>
      </x:c>
      <x:c r="AC18" s="261"/>
    </x:row>
    <x:row r="19" ht="15" hidden="0" customHeight="1">
      <x:c r="A19" s="22"/>
      <x:c r="B19" s="81"/>
      <x:c r="C19" s="261"/>
      <x:c r="D19" s="30"/>
      <x:c r="E19" s="30"/>
      <x:c r="F19" s="82" t="str">
        <x:f>IF(OR($A19="",D19=0),"n.a.",E19/D19)</x:f>
        <x:v>n.a.</x:v>
      </x:c>
      <x:c r="G19" s="30"/>
      <x:c r="H19" s="30"/>
      <x:c r="I19" s="30"/>
      <x:c r="J19" s="30"/>
      <x:c r="K19" s="83" t="str">
        <x:f>IF(OR($A19="",I19=0),"n.a.",J19/I19)</x:f>
        <x:v>n.a.</x:v>
      </x:c>
      <x:c r="L19" s="30"/>
      <x:c r="M19" s="30"/>
      <x:c r="N19" s="30"/>
      <x:c r="O19" s="83" t="str">
        <x:f>IF(OR($A19="",M19=0),"n.a.",N19/M19)</x:f>
        <x:v>n.a.</x:v>
      </x:c>
      <x:c r="P19" s="30"/>
      <x:c r="Q19" s="30"/>
      <x:c r="R19" s="30"/>
      <x:c r="S19" s="83" t="str">
        <x:f>IF(OR($A19="",Q19=0),"n.a.",R19/Q19)</x:f>
        <x:v>n.a.</x:v>
      </x:c>
      <x:c r="T19" s="30"/>
      <x:c r="U19" s="30"/>
      <x:c r="V19" s="30"/>
      <x:c r="W19" s="83" t="str">
        <x:f>IF(OR($A19="",U19=0),"n.a.",V19/U19)</x:f>
        <x:v>n.a.</x:v>
      </x:c>
      <x:c r="X19" s="30"/>
      <x:c r="Y19" s="82" t="str">
        <x:f>IF($A19="","",SUM(H19,L19,P19,T19,X19))</x:f>
      </x:c>
      <x:c r="Z19" s="82" t="str">
        <x:f>IF(OR($A19="",D19=0),"n.a.",Y19/D19)</x:f>
        <x:v>n.a.</x:v>
      </x:c>
      <x:c r="AA19" s="142" t="str">
        <x:f>IF(OR($A19="",E19=0),"n.a.",Y19/E19)</x:f>
        <x:v>n.a.</x:v>
      </x:c>
      <x:c r="AB19" s="232" t="str">
        <x:f>IF($A19="","",IF(U19&gt;0,"پنجره ۶ ماه کامل",IF(Q19&gt;0,"پنجره ۳ ماه کامل",IF(M19&gt;0,"پنجره ۲ ماه کامل",IF(I19&gt;0,"پنجره ۱ ماه کامل","نابالغ")))))</x:f>
      </x:c>
      <x:c r="AC19" s="261"/>
    </x:row>
    <x:row r="20" ht="15" hidden="0" customHeight="1">
      <x:c r="A20" s="22"/>
      <x:c r="B20" s="81"/>
      <x:c r="C20" s="261"/>
      <x:c r="D20" s="30"/>
      <x:c r="E20" s="30"/>
      <x:c r="F20" s="82" t="str">
        <x:f>IF(OR($A20="",D20=0),"n.a.",E20/D20)</x:f>
        <x:v>n.a.</x:v>
      </x:c>
      <x:c r="G20" s="30"/>
      <x:c r="H20" s="30"/>
      <x:c r="I20" s="30"/>
      <x:c r="J20" s="30"/>
      <x:c r="K20" s="83" t="str">
        <x:f>IF(OR($A20="",I20=0),"n.a.",J20/I20)</x:f>
        <x:v>n.a.</x:v>
      </x:c>
      <x:c r="L20" s="30"/>
      <x:c r="M20" s="30"/>
      <x:c r="N20" s="30"/>
      <x:c r="O20" s="83" t="str">
        <x:f>IF(OR($A20="",M20=0),"n.a.",N20/M20)</x:f>
        <x:v>n.a.</x:v>
      </x:c>
      <x:c r="P20" s="30"/>
      <x:c r="Q20" s="30"/>
      <x:c r="R20" s="30"/>
      <x:c r="S20" s="83" t="str">
        <x:f>IF(OR($A20="",Q20=0),"n.a.",R20/Q20)</x:f>
        <x:v>n.a.</x:v>
      </x:c>
      <x:c r="T20" s="30"/>
      <x:c r="U20" s="30"/>
      <x:c r="V20" s="30"/>
      <x:c r="W20" s="83" t="str">
        <x:f>IF(OR($A20="",U20=0),"n.a.",V20/U20)</x:f>
        <x:v>n.a.</x:v>
      </x:c>
      <x:c r="X20" s="30"/>
      <x:c r="Y20" s="82" t="str">
        <x:f>IF($A20="","",SUM(H20,L20,P20,T20,X20))</x:f>
      </x:c>
      <x:c r="Z20" s="82" t="str">
        <x:f>IF(OR($A20="",D20=0),"n.a.",Y20/D20)</x:f>
        <x:v>n.a.</x:v>
      </x:c>
      <x:c r="AA20" s="142" t="str">
        <x:f>IF(OR($A20="",E20=0),"n.a.",Y20/E20)</x:f>
        <x:v>n.a.</x:v>
      </x:c>
      <x:c r="AB20" s="232" t="str">
        <x:f>IF($A20="","",IF(U20&gt;0,"پنجره ۶ ماه کامل",IF(Q20&gt;0,"پنجره ۳ ماه کامل",IF(M20&gt;0,"پنجره ۲ ماه کامل",IF(I20&gt;0,"پنجره ۱ ماه کامل","نابالغ")))))</x:f>
      </x:c>
      <x:c r="AC20" s="261"/>
    </x:row>
    <x:row r="21" ht="15" hidden="0" customHeight="1">
      <x:c r="A21" s="22"/>
      <x:c r="B21" s="81"/>
      <x:c r="C21" s="261"/>
      <x:c r="D21" s="30"/>
      <x:c r="E21" s="30"/>
      <x:c r="F21" s="82" t="str">
        <x:f>IF(OR($A21="",D21=0),"n.a.",E21/D21)</x:f>
        <x:v>n.a.</x:v>
      </x:c>
      <x:c r="G21" s="30"/>
      <x:c r="H21" s="30"/>
      <x:c r="I21" s="30"/>
      <x:c r="J21" s="30"/>
      <x:c r="K21" s="83" t="str">
        <x:f>IF(OR($A21="",I21=0),"n.a.",J21/I21)</x:f>
        <x:v>n.a.</x:v>
      </x:c>
      <x:c r="L21" s="30"/>
      <x:c r="M21" s="30"/>
      <x:c r="N21" s="30"/>
      <x:c r="O21" s="83" t="str">
        <x:f>IF(OR($A21="",M21=0),"n.a.",N21/M21)</x:f>
        <x:v>n.a.</x:v>
      </x:c>
      <x:c r="P21" s="30"/>
      <x:c r="Q21" s="30"/>
      <x:c r="R21" s="30"/>
      <x:c r="S21" s="83" t="str">
        <x:f>IF(OR($A21="",Q21=0),"n.a.",R21/Q21)</x:f>
        <x:v>n.a.</x:v>
      </x:c>
      <x:c r="T21" s="30"/>
      <x:c r="U21" s="30"/>
      <x:c r="V21" s="30"/>
      <x:c r="W21" s="83" t="str">
        <x:f>IF(OR($A21="",U21=0),"n.a.",V21/U21)</x:f>
        <x:v>n.a.</x:v>
      </x:c>
      <x:c r="X21" s="30"/>
      <x:c r="Y21" s="82" t="str">
        <x:f>IF($A21="","",SUM(H21,L21,P21,T21,X21))</x:f>
      </x:c>
      <x:c r="Z21" s="82" t="str">
        <x:f>IF(OR($A21="",D21=0),"n.a.",Y21/D21)</x:f>
        <x:v>n.a.</x:v>
      </x:c>
      <x:c r="AA21" s="142" t="str">
        <x:f>IF(OR($A21="",E21=0),"n.a.",Y21/E21)</x:f>
        <x:v>n.a.</x:v>
      </x:c>
      <x:c r="AB21" s="232" t="str">
        <x:f>IF($A21="","",IF(U21&gt;0,"پنجره ۶ ماه کامل",IF(Q21&gt;0,"پنجره ۳ ماه کامل",IF(M21&gt;0,"پنجره ۲ ماه کامل",IF(I21&gt;0,"پنجره ۱ ماه کامل","نابالغ")))))</x:f>
      </x:c>
      <x:c r="AC21" s="261"/>
    </x:row>
    <x:row r="22" ht="15" hidden="0" customHeight="1">
      <x:c r="A22" s="22"/>
      <x:c r="B22" s="81"/>
      <x:c r="C22" s="261"/>
      <x:c r="D22" s="30"/>
      <x:c r="E22" s="30"/>
      <x:c r="F22" s="82" t="str">
        <x:f>IF(OR($A22="",D22=0),"n.a.",E22/D22)</x:f>
        <x:v>n.a.</x:v>
      </x:c>
      <x:c r="G22" s="30"/>
      <x:c r="H22" s="30"/>
      <x:c r="I22" s="30"/>
      <x:c r="J22" s="30"/>
      <x:c r="K22" s="83" t="str">
        <x:f>IF(OR($A22="",I22=0),"n.a.",J22/I22)</x:f>
        <x:v>n.a.</x:v>
      </x:c>
      <x:c r="L22" s="30"/>
      <x:c r="M22" s="30"/>
      <x:c r="N22" s="30"/>
      <x:c r="O22" s="83" t="str">
        <x:f>IF(OR($A22="",M22=0),"n.a.",N22/M22)</x:f>
        <x:v>n.a.</x:v>
      </x:c>
      <x:c r="P22" s="30"/>
      <x:c r="Q22" s="30"/>
      <x:c r="R22" s="30"/>
      <x:c r="S22" s="83" t="str">
        <x:f>IF(OR($A22="",Q22=0),"n.a.",R22/Q22)</x:f>
        <x:v>n.a.</x:v>
      </x:c>
      <x:c r="T22" s="30"/>
      <x:c r="U22" s="30"/>
      <x:c r="V22" s="30"/>
      <x:c r="W22" s="83" t="str">
        <x:f>IF(OR($A22="",U22=0),"n.a.",V22/U22)</x:f>
        <x:v>n.a.</x:v>
      </x:c>
      <x:c r="X22" s="30"/>
      <x:c r="Y22" s="82" t="str">
        <x:f>IF($A22="","",SUM(H22,L22,P22,T22,X22))</x:f>
      </x:c>
      <x:c r="Z22" s="82" t="str">
        <x:f>IF(OR($A22="",D22=0),"n.a.",Y22/D22)</x:f>
        <x:v>n.a.</x:v>
      </x:c>
      <x:c r="AA22" s="142" t="str">
        <x:f>IF(OR($A22="",E22=0),"n.a.",Y22/E22)</x:f>
        <x:v>n.a.</x:v>
      </x:c>
      <x:c r="AB22" s="232" t="str">
        <x:f>IF($A22="","",IF(U22&gt;0,"پنجره ۶ ماه کامل",IF(Q22&gt;0,"پنجره ۳ ماه کامل",IF(M22&gt;0,"پنجره ۲ ماه کامل",IF(I22&gt;0,"پنجره ۱ ماه کامل","نابالغ")))))</x:f>
      </x:c>
      <x:c r="AC22" s="261"/>
    </x:row>
    <x:row r="23" ht="15" hidden="0" customHeight="1">
      <x:c r="A23" s="22"/>
      <x:c r="B23" s="81"/>
      <x:c r="C23" s="261"/>
      <x:c r="D23" s="30"/>
      <x:c r="E23" s="30"/>
      <x:c r="F23" s="82" t="str">
        <x:f>IF(OR($A23="",D23=0),"n.a.",E23/D23)</x:f>
        <x:v>n.a.</x:v>
      </x:c>
      <x:c r="G23" s="30"/>
      <x:c r="H23" s="30"/>
      <x:c r="I23" s="30"/>
      <x:c r="J23" s="30"/>
      <x:c r="K23" s="83" t="str">
        <x:f>IF(OR($A23="",I23=0),"n.a.",J23/I23)</x:f>
        <x:v>n.a.</x:v>
      </x:c>
      <x:c r="L23" s="30"/>
      <x:c r="M23" s="30"/>
      <x:c r="N23" s="30"/>
      <x:c r="O23" s="83" t="str">
        <x:f>IF(OR($A23="",M23=0),"n.a.",N23/M23)</x:f>
        <x:v>n.a.</x:v>
      </x:c>
      <x:c r="P23" s="30"/>
      <x:c r="Q23" s="30"/>
      <x:c r="R23" s="30"/>
      <x:c r="S23" s="83" t="str">
        <x:f>IF(OR($A23="",Q23=0),"n.a.",R23/Q23)</x:f>
        <x:v>n.a.</x:v>
      </x:c>
      <x:c r="T23" s="30"/>
      <x:c r="U23" s="30"/>
      <x:c r="V23" s="30"/>
      <x:c r="W23" s="83" t="str">
        <x:f>IF(OR($A23="",U23=0),"n.a.",V23/U23)</x:f>
        <x:v>n.a.</x:v>
      </x:c>
      <x:c r="X23" s="30"/>
      <x:c r="Y23" s="82" t="str">
        <x:f>IF($A23="","",SUM(H23,L23,P23,T23,X23))</x:f>
      </x:c>
      <x:c r="Z23" s="82" t="str">
        <x:f>IF(OR($A23="",D23=0),"n.a.",Y23/D23)</x:f>
        <x:v>n.a.</x:v>
      </x:c>
      <x:c r="AA23" s="142" t="str">
        <x:f>IF(OR($A23="",E23=0),"n.a.",Y23/E23)</x:f>
        <x:v>n.a.</x:v>
      </x:c>
      <x:c r="AB23" s="232" t="str">
        <x:f>IF($A23="","",IF(U23&gt;0,"پنجره ۶ ماه کامل",IF(Q23&gt;0,"پنجره ۳ ماه کامل",IF(M23&gt;0,"پنجره ۲ ماه کامل",IF(I23&gt;0,"پنجره ۱ ماه کامل","نابالغ")))))</x:f>
      </x:c>
      <x:c r="AC23" s="261"/>
    </x:row>
    <x:row r="24" ht="15" hidden="0" customHeight="1">
      <x:c r="A24" s="22"/>
      <x:c r="B24" s="81"/>
      <x:c r="C24" s="261"/>
      <x:c r="D24" s="30"/>
      <x:c r="E24" s="30"/>
      <x:c r="F24" s="82" t="str">
        <x:f>IF(OR($A24="",D24=0),"n.a.",E24/D24)</x:f>
        <x:v>n.a.</x:v>
      </x:c>
      <x:c r="G24" s="30"/>
      <x:c r="H24" s="30"/>
      <x:c r="I24" s="30"/>
      <x:c r="J24" s="30"/>
      <x:c r="K24" s="83" t="str">
        <x:f>IF(OR($A24="",I24=0),"n.a.",J24/I24)</x:f>
        <x:v>n.a.</x:v>
      </x:c>
      <x:c r="L24" s="30"/>
      <x:c r="M24" s="30"/>
      <x:c r="N24" s="30"/>
      <x:c r="O24" s="83" t="str">
        <x:f>IF(OR($A24="",M24=0),"n.a.",N24/M24)</x:f>
        <x:v>n.a.</x:v>
      </x:c>
      <x:c r="P24" s="30"/>
      <x:c r="Q24" s="30"/>
      <x:c r="R24" s="30"/>
      <x:c r="S24" s="83" t="str">
        <x:f>IF(OR($A24="",Q24=0),"n.a.",R24/Q24)</x:f>
        <x:v>n.a.</x:v>
      </x:c>
      <x:c r="T24" s="30"/>
      <x:c r="U24" s="30"/>
      <x:c r="V24" s="30"/>
      <x:c r="W24" s="83" t="str">
        <x:f>IF(OR($A24="",U24=0),"n.a.",V24/U24)</x:f>
        <x:v>n.a.</x:v>
      </x:c>
      <x:c r="X24" s="30"/>
      <x:c r="Y24" s="82" t="str">
        <x:f>IF($A24="","",SUM(H24,L24,P24,T24,X24))</x:f>
      </x:c>
      <x:c r="Z24" s="82" t="str">
        <x:f>IF(OR($A24="",D24=0),"n.a.",Y24/D24)</x:f>
        <x:v>n.a.</x:v>
      </x:c>
      <x:c r="AA24" s="142" t="str">
        <x:f>IF(OR($A24="",E24=0),"n.a.",Y24/E24)</x:f>
        <x:v>n.a.</x:v>
      </x:c>
      <x:c r="AB24" s="232" t="str">
        <x:f>IF($A24="","",IF(U24&gt;0,"پنجره ۶ ماه کامل",IF(Q24&gt;0,"پنجره ۳ ماه کامل",IF(M24&gt;0,"پنجره ۲ ماه کامل",IF(I24&gt;0,"پنجره ۱ ماه کامل","نابالغ")))))</x:f>
      </x:c>
      <x:c r="AC24" s="261"/>
    </x:row>
    <x:row r="25" ht="15" hidden="0" customHeight="1">
      <x:c r="A25" s="22"/>
      <x:c r="B25" s="81"/>
      <x:c r="C25" s="261"/>
      <x:c r="D25" s="30"/>
      <x:c r="E25" s="30"/>
      <x:c r="F25" s="82" t="str">
        <x:f>IF(OR($A25="",D25=0),"n.a.",E25/D25)</x:f>
        <x:v>n.a.</x:v>
      </x:c>
      <x:c r="G25" s="30"/>
      <x:c r="H25" s="30"/>
      <x:c r="I25" s="30"/>
      <x:c r="J25" s="30"/>
      <x:c r="K25" s="83" t="str">
        <x:f>IF(OR($A25="",I25=0),"n.a.",J25/I25)</x:f>
        <x:v>n.a.</x:v>
      </x:c>
      <x:c r="L25" s="30"/>
      <x:c r="M25" s="30"/>
      <x:c r="N25" s="30"/>
      <x:c r="O25" s="83" t="str">
        <x:f>IF(OR($A25="",M25=0),"n.a.",N25/M25)</x:f>
        <x:v>n.a.</x:v>
      </x:c>
      <x:c r="P25" s="30"/>
      <x:c r="Q25" s="30"/>
      <x:c r="R25" s="30"/>
      <x:c r="S25" s="83" t="str">
        <x:f>IF(OR($A25="",Q25=0),"n.a.",R25/Q25)</x:f>
        <x:v>n.a.</x:v>
      </x:c>
      <x:c r="T25" s="30"/>
      <x:c r="U25" s="30"/>
      <x:c r="V25" s="30"/>
      <x:c r="W25" s="83" t="str">
        <x:f>IF(OR($A25="",U25=0),"n.a.",V25/U25)</x:f>
        <x:v>n.a.</x:v>
      </x:c>
      <x:c r="X25" s="30"/>
      <x:c r="Y25" s="82" t="str">
        <x:f>IF($A25="","",SUM(H25,L25,P25,T25,X25))</x:f>
      </x:c>
      <x:c r="Z25" s="82" t="str">
        <x:f>IF(OR($A25="",D25=0),"n.a.",Y25/D25)</x:f>
        <x:v>n.a.</x:v>
      </x:c>
      <x:c r="AA25" s="142" t="str">
        <x:f>IF(OR($A25="",E25=0),"n.a.",Y25/E25)</x:f>
        <x:v>n.a.</x:v>
      </x:c>
      <x:c r="AB25" s="232" t="str">
        <x:f>IF($A25="","",IF(U25&gt;0,"پنجره ۶ ماه کامل",IF(Q25&gt;0,"پنجره ۳ ماه کامل",IF(M25&gt;0,"پنجره ۲ ماه کامل",IF(I25&gt;0,"پنجره ۱ ماه کامل","نابالغ")))))</x:f>
      </x:c>
      <x:c r="AC25" s="261"/>
    </x:row>
    <x:row r="26" ht="15" hidden="0" customHeight="1">
      <x:c r="A26" s="22"/>
      <x:c r="B26" s="81"/>
      <x:c r="C26" s="261"/>
      <x:c r="D26" s="30"/>
      <x:c r="E26" s="30"/>
      <x:c r="F26" s="82" t="str">
        <x:f>IF(OR($A26="",D26=0),"n.a.",E26/D26)</x:f>
        <x:v>n.a.</x:v>
      </x:c>
      <x:c r="G26" s="30"/>
      <x:c r="H26" s="30"/>
      <x:c r="I26" s="30"/>
      <x:c r="J26" s="30"/>
      <x:c r="K26" s="83" t="str">
        <x:f>IF(OR($A26="",I26=0),"n.a.",J26/I26)</x:f>
        <x:v>n.a.</x:v>
      </x:c>
      <x:c r="L26" s="30"/>
      <x:c r="M26" s="30"/>
      <x:c r="N26" s="30"/>
      <x:c r="O26" s="83" t="str">
        <x:f>IF(OR($A26="",M26=0),"n.a.",N26/M26)</x:f>
        <x:v>n.a.</x:v>
      </x:c>
      <x:c r="P26" s="30"/>
      <x:c r="Q26" s="30"/>
      <x:c r="R26" s="30"/>
      <x:c r="S26" s="83" t="str">
        <x:f>IF(OR($A26="",Q26=0),"n.a.",R26/Q26)</x:f>
        <x:v>n.a.</x:v>
      </x:c>
      <x:c r="T26" s="30"/>
      <x:c r="U26" s="30"/>
      <x:c r="V26" s="30"/>
      <x:c r="W26" s="83" t="str">
        <x:f>IF(OR($A26="",U26=0),"n.a.",V26/U26)</x:f>
        <x:v>n.a.</x:v>
      </x:c>
      <x:c r="X26" s="30"/>
      <x:c r="Y26" s="82" t="str">
        <x:f>IF($A26="","",SUM(H26,L26,P26,T26,X26))</x:f>
      </x:c>
      <x:c r="Z26" s="82" t="str">
        <x:f>IF(OR($A26="",D26=0),"n.a.",Y26/D26)</x:f>
        <x:v>n.a.</x:v>
      </x:c>
      <x:c r="AA26" s="142" t="str">
        <x:f>IF(OR($A26="",E26=0),"n.a.",Y26/E26)</x:f>
        <x:v>n.a.</x:v>
      </x:c>
      <x:c r="AB26" s="232" t="str">
        <x:f>IF($A26="","",IF(U26&gt;0,"پنجره ۶ ماه کامل",IF(Q26&gt;0,"پنجره ۳ ماه کامل",IF(M26&gt;0,"پنجره ۲ ماه کامل",IF(I26&gt;0,"پنجره ۱ ماه کامل","نابالغ")))))</x:f>
      </x:c>
      <x:c r="AC26" s="261"/>
    </x:row>
    <x:row r="27" ht="15" hidden="0" customHeight="1">
      <x:c r="A27" s="22"/>
      <x:c r="B27" s="81"/>
      <x:c r="C27" s="261"/>
      <x:c r="D27" s="30"/>
      <x:c r="E27" s="30"/>
      <x:c r="F27" s="82" t="str">
        <x:f>IF(OR($A27="",D27=0),"n.a.",E27/D27)</x:f>
        <x:v>n.a.</x:v>
      </x:c>
      <x:c r="G27" s="30"/>
      <x:c r="H27" s="30"/>
      <x:c r="I27" s="30"/>
      <x:c r="J27" s="30"/>
      <x:c r="K27" s="83" t="str">
        <x:f>IF(OR($A27="",I27=0),"n.a.",J27/I27)</x:f>
        <x:v>n.a.</x:v>
      </x:c>
      <x:c r="L27" s="30"/>
      <x:c r="M27" s="30"/>
      <x:c r="N27" s="30"/>
      <x:c r="O27" s="83" t="str">
        <x:f>IF(OR($A27="",M27=0),"n.a.",N27/M27)</x:f>
        <x:v>n.a.</x:v>
      </x:c>
      <x:c r="P27" s="30"/>
      <x:c r="Q27" s="30"/>
      <x:c r="R27" s="30"/>
      <x:c r="S27" s="83" t="str">
        <x:f>IF(OR($A27="",Q27=0),"n.a.",R27/Q27)</x:f>
        <x:v>n.a.</x:v>
      </x:c>
      <x:c r="T27" s="30"/>
      <x:c r="U27" s="30"/>
      <x:c r="V27" s="30"/>
      <x:c r="W27" s="83" t="str">
        <x:f>IF(OR($A27="",U27=0),"n.a.",V27/U27)</x:f>
        <x:v>n.a.</x:v>
      </x:c>
      <x:c r="X27" s="30"/>
      <x:c r="Y27" s="82" t="str">
        <x:f>IF($A27="","",SUM(H27,L27,P27,T27,X27))</x:f>
      </x:c>
      <x:c r="Z27" s="82" t="str">
        <x:f>IF(OR($A27="",D27=0),"n.a.",Y27/D27)</x:f>
        <x:v>n.a.</x:v>
      </x:c>
      <x:c r="AA27" s="142" t="str">
        <x:f>IF(OR($A27="",E27=0),"n.a.",Y27/E27)</x:f>
        <x:v>n.a.</x:v>
      </x:c>
      <x:c r="AB27" s="232" t="str">
        <x:f>IF($A27="","",IF(U27&gt;0,"پنجره ۶ ماه کامل",IF(Q27&gt;0,"پنجره ۳ ماه کامل",IF(M27&gt;0,"پنجره ۲ ماه کامل",IF(I27&gt;0,"پنجره ۱ ماه کامل","نابالغ")))))</x:f>
      </x:c>
      <x:c r="AC27" s="261"/>
    </x:row>
    <x:row r="28" ht="15" hidden="0" customHeight="1">
      <x:c r="A28" s="22"/>
      <x:c r="B28" s="81"/>
      <x:c r="C28" s="261"/>
      <x:c r="D28" s="30"/>
      <x:c r="E28" s="30"/>
      <x:c r="F28" s="82" t="str">
        <x:f>IF(OR($A28="",D28=0),"n.a.",E28/D28)</x:f>
        <x:v>n.a.</x:v>
      </x:c>
      <x:c r="G28" s="30"/>
      <x:c r="H28" s="30"/>
      <x:c r="I28" s="30"/>
      <x:c r="J28" s="30"/>
      <x:c r="K28" s="83" t="str">
        <x:f>IF(OR($A28="",I28=0),"n.a.",J28/I28)</x:f>
        <x:v>n.a.</x:v>
      </x:c>
      <x:c r="L28" s="30"/>
      <x:c r="M28" s="30"/>
      <x:c r="N28" s="30"/>
      <x:c r="O28" s="83" t="str">
        <x:f>IF(OR($A28="",M28=0),"n.a.",N28/M28)</x:f>
        <x:v>n.a.</x:v>
      </x:c>
      <x:c r="P28" s="30"/>
      <x:c r="Q28" s="30"/>
      <x:c r="R28" s="30"/>
      <x:c r="S28" s="83" t="str">
        <x:f>IF(OR($A28="",Q28=0),"n.a.",R28/Q28)</x:f>
        <x:v>n.a.</x:v>
      </x:c>
      <x:c r="T28" s="30"/>
      <x:c r="U28" s="30"/>
      <x:c r="V28" s="30"/>
      <x:c r="W28" s="83" t="str">
        <x:f>IF(OR($A28="",U28=0),"n.a.",V28/U28)</x:f>
        <x:v>n.a.</x:v>
      </x:c>
      <x:c r="X28" s="30"/>
      <x:c r="Y28" s="82" t="str">
        <x:f>IF($A28="","",SUM(H28,L28,P28,T28,X28))</x:f>
      </x:c>
      <x:c r="Z28" s="82" t="str">
        <x:f>IF(OR($A28="",D28=0),"n.a.",Y28/D28)</x:f>
        <x:v>n.a.</x:v>
      </x:c>
      <x:c r="AA28" s="142" t="str">
        <x:f>IF(OR($A28="",E28=0),"n.a.",Y28/E28)</x:f>
        <x:v>n.a.</x:v>
      </x:c>
      <x:c r="AB28" s="232" t="str">
        <x:f>IF($A28="","",IF(U28&gt;0,"پنجره ۶ ماه کامل",IF(Q28&gt;0,"پنجره ۳ ماه کامل",IF(M28&gt;0,"پنجره ۲ ماه کامل",IF(I28&gt;0,"پنجره ۱ ماه کامل","نابالغ")))))</x:f>
      </x:c>
      <x:c r="AC28" s="261"/>
    </x:row>
    <x:row r="29" ht="15" hidden="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"/>
      <x:c r="V29" s="3"/>
      <x:c r="W29" s="3"/>
      <x:c r="X29" s="3"/>
      <x:c r="Y29" s="3"/>
      <x:c r="Z29" s="3"/>
      <x:c r="AA29" s="3"/>
      <x:c r="AB29" s="3"/>
      <x:c r="AC29" s="3"/>
    </x:row>
    <x:row r="30" ht="15" hidden="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  <x:c r="T30" s="3"/>
      <x:c r="U30" s="3"/>
      <x:c r="V30" s="3"/>
      <x:c r="W30" s="3"/>
      <x:c r="X30" s="3"/>
      <x:c r="Y30" s="3"/>
      <x:c r="Z30" s="3"/>
      <x:c r="AA30" s="3"/>
      <x:c r="AB30" s="3"/>
      <x:c r="AC30" s="3"/>
    </x:row>
  </x:sheetData>
  <x:mergeCells>
    <x:mergeCell ref="A1:AC2"/>
    <x:mergeCell ref="A3:AC3"/>
    <x:mergeCell ref="B5:C5"/>
    <x:mergeCell ref="E5:F5"/>
    <x:mergeCell ref="H5:I5"/>
    <x:mergeCell ref="K5:L5"/>
    <x:mergeCell ref="N5:O5"/>
  </x:mergeCells>
  <x:conditionalFormatting sqref="N5:O5">
    <x:cfRule type="containsText" dxfId="184" priority="1" operator="containsText" text="قرمز"/>
    <x:cfRule type="containsText" dxfId="185" priority="2" operator="containsText" text="بحرانی"/>
    <x:cfRule type="containsText" dxfId="186" priority="3" operator="containsText" text="رد"/>
    <x:cfRule type="containsText" dxfId="187" priority="4" operator="containsText" text="متوقف"/>
    <x:cfRule type="containsText" dxfId="188" priority="5" operator="containsText" text="عقب‌افتاده"/>
    <x:cfRule type="containsText" dxfId="189" priority="6" operator="containsText" text="نامعتبر"/>
    <x:cfRule type="containsText" dxfId="190" priority="7" operator="containsText" text="زرد"/>
    <x:cfRule type="containsText" dxfId="191" priority="8" operator="containsText" text="باز"/>
    <x:cfRule type="containsText" dxfId="192" priority="9" operator="containsText" text="نیازمند اصلاح"/>
    <x:cfRule type="containsText" dxfId="193" priority="10" operator="containsText" text="در انتظار"/>
    <x:cfRule type="containsText" dxfId="194" priority="11" operator="containsText" text="نمونه آموزشی"/>
    <x:cfRule type="containsText" dxfId="195" priority="12" operator="containsText" text="سبز"/>
    <x:cfRule type="containsText" dxfId="196" priority="13" operator="containsText" text="بسته"/>
    <x:cfRule type="containsText" dxfId="197" priority="14" operator="containsText" text="تأیید"/>
    <x:cfRule type="containsText" dxfId="198" priority="15" operator="containsText" text="آزادشده"/>
    <x:cfRule type="containsText" dxfId="199" priority="16" operator="containsText" text="انجام‌شده"/>
    <x:cfRule type="containsText" dxfId="200" priority="17" operator="containsText" text="خاکستری"/>
    <x:cfRule type="containsText" dxfId="201" priority="18" operator="containsText" text="نابالغ"/>
    <x:cfRule type="containsText" dxfId="202" priority="19" operator="containsText" text="پنجره کامل نشده"/>
    <x:cfRule type="containsText" dxfId="203" priority="20" operator="containsText" text="n.a."/>
  </x:conditionalFormatting>
  <x:conditionalFormatting sqref="AB9:AB28">
    <x:cfRule type="containsText" dxfId="204" priority="21" operator="containsText" text="قرمز"/>
    <x:cfRule type="containsText" dxfId="205" priority="22" operator="containsText" text="بحرانی"/>
    <x:cfRule type="containsText" dxfId="206" priority="23" operator="containsText" text="رد"/>
    <x:cfRule type="containsText" dxfId="207" priority="24" operator="containsText" text="متوقف"/>
    <x:cfRule type="containsText" dxfId="208" priority="25" operator="containsText" text="عقب‌افتاده"/>
    <x:cfRule type="containsText" dxfId="209" priority="26" operator="containsText" text="نامعتبر"/>
    <x:cfRule type="containsText" dxfId="210" priority="27" operator="containsText" text="زرد"/>
    <x:cfRule type="containsText" dxfId="211" priority="28" operator="containsText" text="باز"/>
    <x:cfRule type="containsText" dxfId="212" priority="29" operator="containsText" text="نیازمند اصلاح"/>
    <x:cfRule type="containsText" dxfId="213" priority="30" operator="containsText" text="در انتظار"/>
    <x:cfRule type="containsText" dxfId="214" priority="31" operator="containsText" text="نمونه آموزشی"/>
    <x:cfRule type="containsText" dxfId="215" priority="32" operator="containsText" text="سبز"/>
    <x:cfRule type="containsText" dxfId="216" priority="33" operator="containsText" text="بسته"/>
    <x:cfRule type="containsText" dxfId="217" priority="34" operator="containsText" text="تأیید"/>
    <x:cfRule type="containsText" dxfId="218" priority="35" operator="containsText" text="آزادشده"/>
    <x:cfRule type="containsText" dxfId="219" priority="36" operator="containsText" text="انجام‌شده"/>
    <x:cfRule type="containsText" dxfId="220" priority="37" operator="containsText" text="خاکستری"/>
    <x:cfRule type="containsText" dxfId="221" priority="38" operator="containsText" text="نابالغ"/>
    <x:cfRule type="containsText" dxfId="222" priority="39" operator="containsText" text="پنجره کامل نشده"/>
    <x:cfRule type="containsText" dxfId="223" priority="40" operator="containsText" text="n.a."/>
  </x:conditionalFormatting>
  <x:dataValidations count="1">
    <x:dataValidation type="list" sqref="C9:C28">
      <x:formula1>"فروشگاه آنلاین,مارکت‌پلیس,فروش حضوری,نماینده / توزیع‌کننده,B2B,صادرات,سایر"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8" hidden="0" customWidth="1"/>
    <x:col min="5" max="5" width="21" hidden="0" customWidth="1"/>
    <x:col min="6" max="6" width="16" hidden="0" customWidth="1"/>
    <x:col min="7" max="7" width="16" hidden="0" customWidth="1"/>
    <x:col min="8" max="8" width="21" hidden="0" customWidth="1"/>
    <x:col min="9" max="9" width="27" hidden="0" customWidth="1"/>
    <x:col min="10" max="10" width="13" hidden="0" customWidth="1"/>
    <x:col min="11" max="11" width="11" hidden="0" customWidth="1"/>
    <x:col min="12" max="12" width="16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28" hidden="0" customWidth="1"/>
    <x:col min="18" max="18" width="22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23" hidden="0" customWidth="1"/>
  </x:cols>
  <x:sheetData>
    <x:row r="1" ht="34" customHeight="1">
      <x:c r="A1" s="7" t="str">
        <x:v>T07 | مرجوعی، شکایت و بازخورد کیفیت</x:v>
      </x:c>
      <x:c r="B1" s="7" t="str">
        <x:v>T07 | مرجوعی، شکایت و بازخورد کیفیت</x:v>
      </x:c>
      <x:c r="C1" s="7" t="str">
        <x:v>T07 | مرجوعی، شکایت و بازخورد کیفیت</x:v>
      </x:c>
      <x:c r="D1" s="7" t="str">
        <x:v>T07 | مرجوعی، شکایت و بازخورد کیفیت</x:v>
      </x:c>
      <x:c r="E1" s="7" t="str">
        <x:v>T07 | مرجوعی، شکایت و بازخورد کیفیت</x:v>
      </x:c>
      <x:c r="F1" s="7" t="str">
        <x:v>T07 | مرجوعی، شکایت و بازخورد کیفیت</x:v>
      </x:c>
      <x:c r="G1" s="7" t="str">
        <x:v>T07 | مرجوعی، شکایت و بازخورد کیفیت</x:v>
      </x:c>
      <x:c r="H1" s="7" t="str">
        <x:v>T07 | مرجوعی، شکایت و بازخورد کیفیت</x:v>
      </x:c>
      <x:c r="I1" s="7" t="str">
        <x:v>T07 | مرجوعی، شکایت و بازخورد کیفیت</x:v>
      </x:c>
      <x:c r="J1" s="7" t="str">
        <x:v>T07 | مرجوعی، شکایت و بازخورد کیفیت</x:v>
      </x:c>
      <x:c r="K1" s="7" t="str">
        <x:v>T07 | مرجوعی، شکایت و بازخورد کیفیت</x:v>
      </x:c>
      <x:c r="L1" s="7" t="str">
        <x:v>T07 | مرجوعی، شکایت و بازخورد کیفیت</x:v>
      </x:c>
      <x:c r="M1" s="7" t="str">
        <x:v>T07 | مرجوعی، شکایت و بازخورد کیفیت</x:v>
      </x:c>
      <x:c r="N1" s="7" t="str">
        <x:v>T07 | مرجوعی، شکایت و بازخورد کیفیت</x:v>
      </x:c>
      <x:c r="O1" s="7" t="str">
        <x:v>T07 | مرجوعی، شکایت و بازخورد کیفیت</x:v>
      </x:c>
      <x:c r="P1" s="7" t="str">
        <x:v>T07 | مرجوعی، شکایت و بازخورد کیفیت</x:v>
      </x:c>
      <x:c r="Q1" s="7" t="str">
        <x:v>T07 | مرجوعی، شکایت و بازخورد کیفیت</x:v>
      </x:c>
      <x:c r="R1" s="7" t="str">
        <x:v>T07 | مرجوعی، شکایت و بازخورد کیفیت</x:v>
      </x:c>
      <x:c r="S1" s="7" t="str">
        <x:v>T07 | مرجوعی، شکایت و بازخورد کیفیت</x:v>
      </x:c>
      <x:c r="T1" s="7" t="str">
        <x:v>T07 | مرجوعی، شکایت و بازخورد کیفیت</x:v>
      </x:c>
      <x:c r="U1" s="7" t="str">
        <x:v>T07 | مرجوعی، شکایت و بازخورد کیفیت</x:v>
      </x:c>
      <x:c r="V1" s="7" t="str">
        <x:v>T07 | مرجوعی، شکایت و بازخورد کیفیت</x:v>
      </x:c>
      <x:c r="W1" s="7" t="str">
        <x:v>T07 | مرجوعی، شکایت و بازخورد کیفیت</x:v>
      </x:c>
    </x:row>
    <x:row r="2" ht="34" customHeight="1">
      <x:c r="A2" s="7" t="str">
        <x:v>T07 | مرجوعی، شکایت و بازخورد کیفیت</x:v>
      </x:c>
      <x:c r="B2" s="7" t="str">
        <x:v>T07 | مرجوعی، شکایت و بازخورد کیفیت</x:v>
      </x:c>
      <x:c r="C2" s="7" t="str">
        <x:v>T07 | مرجوعی، شکایت و بازخورد کیفیت</x:v>
      </x:c>
      <x:c r="D2" s="7" t="str">
        <x:v>T07 | مرجوعی، شکایت و بازخورد کیفیت</x:v>
      </x:c>
      <x:c r="E2" s="7" t="str">
        <x:v>T07 | مرجوعی، شکایت و بازخورد کیفیت</x:v>
      </x:c>
      <x:c r="F2" s="7" t="str">
        <x:v>T07 | مرجوعی، شکایت و بازخورد کیفیت</x:v>
      </x:c>
      <x:c r="G2" s="7" t="str">
        <x:v>T07 | مرجوعی، شکایت و بازخورد کیفیت</x:v>
      </x:c>
      <x:c r="H2" s="7" t="str">
        <x:v>T07 | مرجوعی، شکایت و بازخورد کیفیت</x:v>
      </x:c>
      <x:c r="I2" s="7" t="str">
        <x:v>T07 | مرجوعی، شکایت و بازخورد کیفیت</x:v>
      </x:c>
      <x:c r="J2" s="7" t="str">
        <x:v>T07 | مرجوعی، شکایت و بازخورد کیفیت</x:v>
      </x:c>
      <x:c r="K2" s="7" t="str">
        <x:v>T07 | مرجوعی، شکایت و بازخورد کیفیت</x:v>
      </x:c>
      <x:c r="L2" s="7" t="str">
        <x:v>T07 | مرجوعی، شکایت و بازخورد کیفیت</x:v>
      </x:c>
      <x:c r="M2" s="7" t="str">
        <x:v>T07 | مرجوعی، شکایت و بازخورد کیفیت</x:v>
      </x:c>
      <x:c r="N2" s="7" t="str">
        <x:v>T07 | مرجوعی، شکایت و بازخورد کیفیت</x:v>
      </x:c>
      <x:c r="O2" s="7" t="str">
        <x:v>T07 | مرجوعی، شکایت و بازخورد کیفیت</x:v>
      </x:c>
      <x:c r="P2" s="7" t="str">
        <x:v>T07 | مرجوعی، شکایت و بازخورد کیفیت</x:v>
      </x:c>
      <x:c r="Q2" s="7" t="str">
        <x:v>T07 | مرجوعی، شکایت و بازخورد کیفیت</x:v>
      </x:c>
      <x:c r="R2" s="7" t="str">
        <x:v>T07 | مرجوعی، شکایت و بازخورد کیفیت</x:v>
      </x:c>
      <x:c r="S2" s="7" t="str">
        <x:v>T07 | مرجوعی، شکایت و بازخورد کیفیت</x:v>
      </x:c>
      <x:c r="T2" s="7" t="str">
        <x:v>T07 | مرجوعی، شکایت و بازخورد کیفیت</x:v>
      </x:c>
      <x:c r="U2" s="7" t="str">
        <x:v>T07 | مرجوعی، شکایت و بازخورد کیفیت</x:v>
      </x:c>
      <x:c r="V2" s="7" t="str">
        <x:v>T07 | مرجوعی، شکایت و بازخورد کیفیت</x:v>
      </x:c>
      <x:c r="W2" s="7" t="str">
        <x:v>T07 | مرجوعی، شکایت و بازخورد کیفیت</x:v>
      </x:c>
    </x:row>
    <x:row r="3" ht="15" hidden="0" customHeight="1">
      <x:c r="A3" s="89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B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C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D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E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F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G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H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I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J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K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L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M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N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O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P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Q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R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S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T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U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V3" s="90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  <x:c r="W3" s="91" t="str">
        <x:v>مرجوعی، شکایت و عدم‌انطباق تأییدشده یک مفهوم نیستند. هزینه‌های این رجیستر برای تحلیل رخداد است و نباید بدون تطبیق دوباره به CM1 افزوده شود.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</x:row>
    <x:row r="5" ht="24" hidden="0" customHeight="1">
      <x:c r="A5" s="96" t="str">
        <x:v>نرخ مرجوعی واحدی</x:v>
      </x:c>
      <x:c r="B5" s="136" t="n">
        <x:f>IF(SUM('محصول و کانال'!$J$9:$J$88)=0,"n.a.",SUMIFS($K$9:$K$68,$H$9:$H$68,"مرجوعی")/SUM('محصول و کانال'!$J$9:$J$88))</x:f>
        <x:v>0.013440860215053764</x:v>
      </x:c>
      <x:c r="C5" s="96" t="str"/>
      <x:c r="D5" s="96" t="str">
        <x:v>شکایت شدید باز</x:v>
      </x:c>
      <x:c r="E5" s="97" t="n">
        <x:f>COUNTIFS($A$9:$A$68,"?*",$J$9:$J$68,"شدید",$V$9:$V$68,"&lt;&gt;بسته")+COUNTIFS($A$9:$A$68,"?*",$J$9:$J$68,"بحرانی",$V$9:$V$68,"&lt;&gt;بسته")</x:f>
        <x:v>0</x:v>
      </x:c>
      <x:c r="F5" s="96" t="str"/>
      <x:c r="G5" s="96" t="str">
        <x:v>هزینه رخداد</x:v>
      </x:c>
      <x:c r="H5" s="97" t="n">
        <x:f>IF(COUNTA($A$9:$A$68)=0,"n.a.",SUM($P$9:$P$68))</x:f>
        <x:v>62700000</x:v>
      </x:c>
      <x:c r="I5" s="97" t="str"/>
      <x:c r="J5" s="97" t="str">
        <x:v>هزینه کانال مشکوک</x:v>
      </x:c>
      <x:c r="K5" s="97" t="n">
        <x:f>IF(COUNTA($A$9:$A$68)=0,"n.a.",SUMIFS($P$9:$P$68,$S$9:$S$68,"بله"))</x:f>
        <x:v>30900000</x:v>
      </x:c>
      <x:c r="L5" s="97" t="str"/>
      <x:c r="M5" s="96" t="str">
        <x:v>پرونده باز</x:v>
      </x:c>
      <x:c r="N5" s="97" t="n">
        <x:f>COUNTIFS($A$9:$A$68,"?*",$V$9:$V$68,"&lt;&gt;بسته")</x:f>
        <x:v>0</x:v>
      </x:c>
      <x:c r="O5" s="96" t="str"/>
      <x:c r="P5" s="96" t="str">
        <x:v>وضعیت</x:v>
      </x:c>
      <x:c r="Q5" s="96" t="str">
        <x:f>IF(COUNTA($A$9:$A$68)=0,"خاکستری",IF(OR(B5&gt;'فرض‌ها و منابع'!$B$15,E5&gt;0),"قرمز",IF(N5&gt;0,"زرد","سبز")))</x:f>
        <x:v>سبز</x:v>
      </x:c>
      <x:c r="R5" s="3"/>
      <x:c r="S5" s="3"/>
      <x:c r="T5" s="3"/>
      <x:c r="U5" s="3"/>
      <x:c r="V5" s="3"/>
      <x:c r="W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</x:row>
    <x:row r="8" ht="15" hidden="0" customHeight="1">
      <x:c r="A8" s="41" t="str">
        <x:v>شناسه</x:v>
      </x:c>
      <x:c r="B8" s="41" t="str">
        <x:v>تاریخ</x:v>
      </x:c>
      <x:c r="C8" s="41" t="str">
        <x:v>سفارش</x:v>
      </x:c>
      <x:c r="D8" s="41" t="str">
        <x:v>SKU</x:v>
      </x:c>
      <x:c r="E8" s="41" t="str">
        <x:v>کانال</x:v>
      </x:c>
      <x:c r="F8" s="41" t="str">
        <x:v>بچ / لات</x:v>
      </x:c>
      <x:c r="G8" s="41" t="str">
        <x:v>سریال</x:v>
      </x:c>
      <x:c r="H8" s="41" t="str">
        <x:v>نوع رخداد</x:v>
      </x:c>
      <x:c r="I8" s="41" t="str">
        <x:v>علت</x:v>
      </x:c>
      <x:c r="J8" s="41" t="str">
        <x:v>شدت</x:v>
      </x:c>
      <x:c r="K8" s="41" t="str">
        <x:v>تعداد</x:v>
      </x:c>
      <x:c r="L8" s="41" t="str">
        <x:v>بازپرداخت</x:v>
      </x:c>
      <x:c r="M8" s="41" t="str">
        <x:v>لجستیک معکوس</x:v>
      </x:c>
      <x:c r="N8" s="41" t="str">
        <x:v>تعویض / تعمیر</x:v>
      </x:c>
      <x:c r="O8" s="41" t="str">
        <x:v>آزمون و رسیدگی</x:v>
      </x:c>
      <x:c r="P8" s="41" t="str">
        <x:v>هزینه کل رخداد</x:v>
      </x:c>
      <x:c r="Q8" s="41" t="str">
        <x:v>اقدام برای مشتری</x:v>
      </x:c>
      <x:c r="R8" s="41" t="str">
        <x:v>ارجاع کیفیت / CAPA</x:v>
      </x:c>
      <x:c r="S8" s="41" t="str">
        <x:v>کانال مشکوک</x:v>
      </x:c>
      <x:c r="T8" s="41" t="str">
        <x:v>آلودگی داده</x:v>
      </x:c>
      <x:c r="U8" s="41" t="str">
        <x:v>مالک</x:v>
      </x:c>
      <x:c r="V8" s="41" t="str">
        <x:v>وضعیت</x:v>
      </x:c>
      <x:c r="W8" s="41" t="str">
        <x:v>منبع / شاهد</x:v>
      </x:c>
    </x:row>
    <x:row r="9" ht="15" hidden="0" customHeight="1">
      <x:c r="A9" s="22" t="str">
        <x:v>RET-DEMO-01</x:v>
      </x:c>
      <x:c r="B9" s="29" t="n">
        <x:v>46290</x:v>
      </x:c>
      <x:c r="C9" s="22" t="str">
        <x:v>ORD-DEMO-101</x:v>
      </x:c>
      <x:c r="D9" s="22" t="str">
        <x:v>نمونه-SKU01</x:v>
      </x:c>
      <x:c r="E9" s="22" t="str">
        <x:v>فروشگاه آنلاین</x:v>
      </x:c>
      <x:c r="F9" s="22" t="str">
        <x:v>DEMO-B001</x:v>
      </x:c>
      <x:c r="G9" s="22" t="str"/>
      <x:c r="H9" s="261" t="str">
        <x:v>مرجوعی</x:v>
      </x:c>
      <x:c r="I9" s="261" t="str">
        <x:v>آسیب حمل</x:v>
      </x:c>
      <x:c r="J9" s="261" t="str">
        <x:v>متوسط</x:v>
      </x:c>
      <x:c r="K9" s="30" t="n">
        <x:v>20</x:v>
      </x:c>
      <x:c r="L9" s="30" t="n">
        <x:v>18000000</x:v>
      </x:c>
      <x:c r="M9" s="30" t="n">
        <x:v>1800000</x:v>
      </x:c>
      <x:c r="N9" s="30" t="n">
        <x:v>0</x:v>
      </x:c>
      <x:c r="O9" s="30" t="n">
        <x:v>600000</x:v>
      </x:c>
      <x:c r="P9" s="82" t="n">
        <x:f>IF($A9="","",SUM(L9:O9))</x:f>
        <x:v>20400000</x:v>
      </x:c>
      <x:c r="Q9" s="261" t="str">
        <x:v>بازپرداخت و بررسی بسته‌بندی</x:v>
      </x:c>
      <x:c r="R9" s="261" t="str">
        <x:v>CAPA-DEMO-01</x:v>
      </x:c>
      <x:c r="S9" s="261" t="str">
        <x:v>خیر</x:v>
      </x:c>
      <x:c r="T9" s="261" t="str">
        <x:v>خیر</x:v>
      </x:c>
      <x:c r="U9" s="261" t="str">
        <x:v>خدمات</x:v>
      </x:c>
      <x:c r="V9" s="261" t="str">
        <x:v>بسته</x:v>
      </x:c>
      <x:c r="W9" s="261" t="str">
        <x:v>SRC-DEMO</x:v>
      </x:c>
    </x:row>
    <x:row r="10" ht="15" hidden="0" customHeight="1">
      <x:c r="A10" s="22" t="str">
        <x:v>RET-DEMO-02</x:v>
      </x:c>
      <x:c r="B10" s="29" t="n">
        <x:v>46303</x:v>
      </x:c>
      <x:c r="C10" s="22" t="str">
        <x:v>ORD-DEMO-203</x:v>
      </x:c>
      <x:c r="D10" s="22" t="str">
        <x:v>نمونه-SKU01</x:v>
      </x:c>
      <x:c r="E10" s="22" t="str">
        <x:v>فروشگاه آنلاین</x:v>
      </x:c>
      <x:c r="F10" s="22" t="str">
        <x:v>DEMO-B001</x:v>
      </x:c>
      <x:c r="G10" s="22" t="str"/>
      <x:c r="H10" s="261" t="str">
        <x:v>شکایت</x:v>
      </x:c>
      <x:c r="I10" s="261" t="str">
        <x:v>انتظار نامتناسب با پیام فروش</x:v>
      </x:c>
      <x:c r="J10" s="261" t="str">
        <x:v>شدید</x:v>
      </x:c>
      <x:c r="K10" s="30" t="n">
        <x:v>1</x:v>
      </x:c>
      <x:c r="L10" s="30" t="n">
        <x:v>0</x:v>
      </x:c>
      <x:c r="M10" s="30" t="n">
        <x:v>0</x:v>
      </x:c>
      <x:c r="N10" s="30" t="n">
        <x:v>0</x:v>
      </x:c>
      <x:c r="O10" s="30" t="n">
        <x:v>1000000</x:v>
      </x:c>
      <x:c r="P10" s="82" t="n">
        <x:f>IF($A10="","",SUM(L10:O10))</x:f>
        <x:v>1000000</x:v>
      </x:c>
      <x:c r="Q10" s="261" t="str">
        <x:v>تماس و اصلاح محتوا</x:v>
      </x:c>
      <x:c r="R10" s="261" t="str">
        <x:v>Q-DEMO-02</x:v>
      </x:c>
      <x:c r="S10" s="261" t="str">
        <x:v>خیر</x:v>
      </x:c>
      <x:c r="T10" s="261" t="str">
        <x:v>خیر</x:v>
      </x:c>
      <x:c r="U10" s="261" t="str">
        <x:v>فروش</x:v>
      </x:c>
      <x:c r="V10" s="261" t="str">
        <x:v>باز</x:v>
      </x:c>
      <x:c r="W10" s="261" t="str">
        <x:v>SRC-DEMO</x:v>
      </x:c>
    </x:row>
    <x:row r="11" ht="15" hidden="0" customHeight="1">
      <x:c r="A11" s="22" t="str">
        <x:v>RET-DEMO-03</x:v>
      </x:c>
      <x:c r="B11" s="29" t="n">
        <x:v>46344</x:v>
      </x:c>
      <x:c r="C11" s="22" t="str">
        <x:v>ORD-DEMO-355</x:v>
      </x:c>
      <x:c r="D11" s="22" t="str">
        <x:v>نمونه-SKU01</x:v>
      </x:c>
      <x:c r="E11" s="22" t="str">
        <x:v>مارکت‌پلیس</x:v>
      </x:c>
      <x:c r="F11" s="22" t="str">
        <x:v>DEMO-B001</x:v>
      </x:c>
      <x:c r="G11" s="22" t="str"/>
      <x:c r="H11" s="261" t="str">
        <x:v>مرجوعی</x:v>
      </x:c>
      <x:c r="I11" s="261" t="str">
        <x:v>مغایرت کالای دریافتی</x:v>
      </x:c>
      <x:c r="J11" s="261" t="str">
        <x:v>بحرانی</x:v>
      </x:c>
      <x:c r="K11" s="30" t="n">
        <x:v>30</x:v>
      </x:c>
      <x:c r="L11" s="30" t="n">
        <x:v>27000000</x:v>
      </x:c>
      <x:c r="M11" s="30" t="n">
        <x:v>2700000</x:v>
      </x:c>
      <x:c r="N11" s="30" t="n">
        <x:v>0</x:v>
      </x:c>
      <x:c r="O11" s="30" t="n">
        <x:v>1200000</x:v>
      </x:c>
      <x:c r="P11" s="82" t="n">
        <x:f>IF($A11="","",SUM(L11:O11))</x:f>
        <x:v>30900000</x:v>
      </x:c>
      <x:c r="Q11" s="261" t="str">
        <x:v>توقف کانال و نمونه‌برداری</x:v>
      </x:c>
      <x:c r="R11" s="261" t="str">
        <x:v>Q-DEMO-03</x:v>
      </x:c>
      <x:c r="S11" s="261" t="str">
        <x:v>بله</x:v>
      </x:c>
      <x:c r="T11" s="261" t="str">
        <x:v>در بررسی</x:v>
      </x:c>
      <x:c r="U11" s="261" t="str">
        <x:v>کیفیت</x:v>
      </x:c>
      <x:c r="V11" s="261" t="str">
        <x:v>در بررسی</x:v>
      </x:c>
      <x:c r="W11" s="261" t="str">
        <x:v>SRC-DEMO</x:v>
      </x:c>
    </x:row>
    <x:row r="12" ht="15" hidden="0" customHeight="1">
      <x:c r="A12" s="22" t="str">
        <x:v>RET-DEMO-04</x:v>
      </x:c>
      <x:c r="B12" s="29" t="n">
        <x:v>46358</x:v>
      </x:c>
      <x:c r="C12" s="22" t="str">
        <x:v>ORD-DEMO-402</x:v>
      </x:c>
      <x:c r="D12" s="22" t="str">
        <x:v>نمونه-SKU01</x:v>
      </x:c>
      <x:c r="E12" s="22" t="str">
        <x:v>فروشگاه آنلاین</x:v>
      </x:c>
      <x:c r="F12" s="22" t="str">
        <x:v>DEMO-B002</x:v>
      </x:c>
      <x:c r="G12" s="22" t="str"/>
      <x:c r="H12" s="261" t="str">
        <x:v>گارانتی</x:v>
      </x:c>
      <x:c r="I12" s="261" t="str">
        <x:v>خرابی در مصرف</x:v>
      </x:c>
      <x:c r="J12" s="261" t="str">
        <x:v>متوسط</x:v>
      </x:c>
      <x:c r="K12" s="30" t="n">
        <x:v>10</x:v>
      </x:c>
      <x:c r="L12" s="30" t="n">
        <x:v>0</x:v>
      </x:c>
      <x:c r="M12" s="30" t="n">
        <x:v>900000</x:v>
      </x:c>
      <x:c r="N12" s="30" t="n">
        <x:v>8000000</x:v>
      </x:c>
      <x:c r="O12" s="30" t="n">
        <x:v>1500000</x:v>
      </x:c>
      <x:c r="P12" s="82" t="n">
        <x:f>IF($A12="","",SUM(L12:O12))</x:f>
        <x:v>10400000</x:v>
      </x:c>
      <x:c r="Q12" s="261" t="str">
        <x:v>تعویض و تحلیل عیب</x:v>
      </x:c>
      <x:c r="R12" s="261" t="str">
        <x:v>CAPA-DEMO-04</x:v>
      </x:c>
      <x:c r="S12" s="261" t="str">
        <x:v>خیر</x:v>
      </x:c>
      <x:c r="T12" s="261" t="str">
        <x:v>خیر</x:v>
      </x:c>
      <x:c r="U12" s="261" t="str">
        <x:v>کیفیت</x:v>
      </x:c>
      <x:c r="V12" s="261" t="str">
        <x:v>باز</x:v>
      </x:c>
      <x:c r="W12" s="261" t="str">
        <x:v>SRC-DEMO</x:v>
      </x:c>
    </x:row>
    <x:row r="13" ht="15" hidden="0" customHeight="1">
      <x:c r="A13" s="22"/>
      <x:c r="B13" s="29"/>
      <x:c r="C13" s="22"/>
      <x:c r="D13" s="22"/>
      <x:c r="E13" s="22"/>
      <x:c r="F13" s="22"/>
      <x:c r="G13" s="22"/>
      <x:c r="H13" s="261"/>
      <x:c r="I13" s="261"/>
      <x:c r="J13" s="261"/>
      <x:c r="K13" s="30"/>
      <x:c r="L13" s="30"/>
      <x:c r="M13" s="30"/>
      <x:c r="N13" s="30"/>
      <x:c r="O13" s="30"/>
      <x:c r="P13" s="82" t="str">
        <x:f>IF($A13="","",SUM(L13:O13))</x:f>
      </x:c>
      <x:c r="Q13" s="261"/>
      <x:c r="R13" s="261"/>
      <x:c r="S13" s="261"/>
      <x:c r="T13" s="261"/>
      <x:c r="U13" s="261"/>
      <x:c r="V13" s="261"/>
      <x:c r="W13" s="261"/>
    </x:row>
    <x:row r="14" ht="15" hidden="0" customHeight="1">
      <x:c r="A14" s="22"/>
      <x:c r="B14" s="29"/>
      <x:c r="C14" s="22"/>
      <x:c r="D14" s="22"/>
      <x:c r="E14" s="22"/>
      <x:c r="F14" s="22"/>
      <x:c r="G14" s="22"/>
      <x:c r="H14" s="261"/>
      <x:c r="I14" s="261"/>
      <x:c r="J14" s="261"/>
      <x:c r="K14" s="30"/>
      <x:c r="L14" s="30"/>
      <x:c r="M14" s="30"/>
      <x:c r="N14" s="30"/>
      <x:c r="O14" s="30"/>
      <x:c r="P14" s="82" t="str">
        <x:f>IF($A14="","",SUM(L14:O14))</x:f>
      </x:c>
      <x:c r="Q14" s="261"/>
      <x:c r="R14" s="261"/>
      <x:c r="S14" s="261"/>
      <x:c r="T14" s="261"/>
      <x:c r="U14" s="261"/>
      <x:c r="V14" s="261"/>
      <x:c r="W14" s="261"/>
    </x:row>
    <x:row r="15" ht="15" hidden="0" customHeight="1">
      <x:c r="A15" s="22"/>
      <x:c r="B15" s="29"/>
      <x:c r="C15" s="22"/>
      <x:c r="D15" s="22"/>
      <x:c r="E15" s="22"/>
      <x:c r="F15" s="22"/>
      <x:c r="G15" s="22"/>
      <x:c r="H15" s="261"/>
      <x:c r="I15" s="261"/>
      <x:c r="J15" s="261"/>
      <x:c r="K15" s="30"/>
      <x:c r="L15" s="30"/>
      <x:c r="M15" s="30"/>
      <x:c r="N15" s="30"/>
      <x:c r="O15" s="30"/>
      <x:c r="P15" s="82" t="str">
        <x:f>IF($A15="","",SUM(L15:O15))</x:f>
      </x:c>
      <x:c r="Q15" s="261"/>
      <x:c r="R15" s="261"/>
      <x:c r="S15" s="261"/>
      <x:c r="T15" s="261"/>
      <x:c r="U15" s="261"/>
      <x:c r="V15" s="261"/>
      <x:c r="W15" s="261"/>
    </x:row>
    <x:row r="16" ht="15" hidden="0" customHeight="1">
      <x:c r="A16" s="22"/>
      <x:c r="B16" s="29"/>
      <x:c r="C16" s="22"/>
      <x:c r="D16" s="22"/>
      <x:c r="E16" s="22"/>
      <x:c r="F16" s="22"/>
      <x:c r="G16" s="22"/>
      <x:c r="H16" s="261"/>
      <x:c r="I16" s="261"/>
      <x:c r="J16" s="261"/>
      <x:c r="K16" s="30"/>
      <x:c r="L16" s="30"/>
      <x:c r="M16" s="30"/>
      <x:c r="N16" s="30"/>
      <x:c r="O16" s="30"/>
      <x:c r="P16" s="82" t="str">
        <x:f>IF($A16="","",SUM(L16:O16))</x:f>
      </x:c>
      <x:c r="Q16" s="261"/>
      <x:c r="R16" s="261"/>
      <x:c r="S16" s="261"/>
      <x:c r="T16" s="261"/>
      <x:c r="U16" s="261"/>
      <x:c r="V16" s="261"/>
      <x:c r="W16" s="261"/>
    </x:row>
    <x:row r="17" ht="15" hidden="0" customHeight="1">
      <x:c r="A17" s="22"/>
      <x:c r="B17" s="29"/>
      <x:c r="C17" s="22"/>
      <x:c r="D17" s="22"/>
      <x:c r="E17" s="22"/>
      <x:c r="F17" s="22"/>
      <x:c r="G17" s="22"/>
      <x:c r="H17" s="261"/>
      <x:c r="I17" s="261"/>
      <x:c r="J17" s="261"/>
      <x:c r="K17" s="30"/>
      <x:c r="L17" s="30"/>
      <x:c r="M17" s="30"/>
      <x:c r="N17" s="30"/>
      <x:c r="O17" s="30"/>
      <x:c r="P17" s="82" t="str">
        <x:f>IF($A17="","",SUM(L17:O17))</x:f>
      </x:c>
      <x:c r="Q17" s="261"/>
      <x:c r="R17" s="261"/>
      <x:c r="S17" s="261"/>
      <x:c r="T17" s="261"/>
      <x:c r="U17" s="261"/>
      <x:c r="V17" s="261"/>
      <x:c r="W17" s="261"/>
    </x:row>
    <x:row r="18" ht="15" hidden="0" customHeight="1">
      <x:c r="A18" s="22"/>
      <x:c r="B18" s="29"/>
      <x:c r="C18" s="22"/>
      <x:c r="D18" s="22"/>
      <x:c r="E18" s="22"/>
      <x:c r="F18" s="22"/>
      <x:c r="G18" s="22"/>
      <x:c r="H18" s="261"/>
      <x:c r="I18" s="261"/>
      <x:c r="J18" s="261"/>
      <x:c r="K18" s="30"/>
      <x:c r="L18" s="30"/>
      <x:c r="M18" s="30"/>
      <x:c r="N18" s="30"/>
      <x:c r="O18" s="30"/>
      <x:c r="P18" s="82" t="str">
        <x:f>IF($A18="","",SUM(L18:O18))</x:f>
      </x:c>
      <x:c r="Q18" s="261"/>
      <x:c r="R18" s="261"/>
      <x:c r="S18" s="261"/>
      <x:c r="T18" s="261"/>
      <x:c r="U18" s="261"/>
      <x:c r="V18" s="261"/>
      <x:c r="W18" s="261"/>
    </x:row>
    <x:row r="19" ht="15" hidden="0" customHeight="1">
      <x:c r="A19" s="22"/>
      <x:c r="B19" s="29"/>
      <x:c r="C19" s="22"/>
      <x:c r="D19" s="22"/>
      <x:c r="E19" s="22"/>
      <x:c r="F19" s="22"/>
      <x:c r="G19" s="22"/>
      <x:c r="H19" s="261"/>
      <x:c r="I19" s="261"/>
      <x:c r="J19" s="261"/>
      <x:c r="K19" s="30"/>
      <x:c r="L19" s="30"/>
      <x:c r="M19" s="30"/>
      <x:c r="N19" s="30"/>
      <x:c r="O19" s="30"/>
      <x:c r="P19" s="82" t="str">
        <x:f>IF($A19="","",SUM(L19:O19))</x:f>
      </x:c>
      <x:c r="Q19" s="261"/>
      <x:c r="R19" s="261"/>
      <x:c r="S19" s="261"/>
      <x:c r="T19" s="261"/>
      <x:c r="U19" s="261"/>
      <x:c r="V19" s="261"/>
      <x:c r="W19" s="261"/>
    </x:row>
    <x:row r="20" ht="15" hidden="0" customHeight="1">
      <x:c r="A20" s="22"/>
      <x:c r="B20" s="29"/>
      <x:c r="C20" s="22"/>
      <x:c r="D20" s="22"/>
      <x:c r="E20" s="22"/>
      <x:c r="F20" s="22"/>
      <x:c r="G20" s="22"/>
      <x:c r="H20" s="261"/>
      <x:c r="I20" s="261"/>
      <x:c r="J20" s="261"/>
      <x:c r="K20" s="30"/>
      <x:c r="L20" s="30"/>
      <x:c r="M20" s="30"/>
      <x:c r="N20" s="30"/>
      <x:c r="O20" s="30"/>
      <x:c r="P20" s="82" t="str">
        <x:f>IF($A20="","",SUM(L20:O20))</x:f>
      </x:c>
      <x:c r="Q20" s="261"/>
      <x:c r="R20" s="261"/>
      <x:c r="S20" s="261"/>
      <x:c r="T20" s="261"/>
      <x:c r="U20" s="261"/>
      <x:c r="V20" s="261"/>
      <x:c r="W20" s="261"/>
    </x:row>
    <x:row r="21" ht="15" hidden="0" customHeight="1">
      <x:c r="A21" s="22"/>
      <x:c r="B21" s="29"/>
      <x:c r="C21" s="22"/>
      <x:c r="D21" s="22"/>
      <x:c r="E21" s="22"/>
      <x:c r="F21" s="22"/>
      <x:c r="G21" s="22"/>
      <x:c r="H21" s="261"/>
      <x:c r="I21" s="261"/>
      <x:c r="J21" s="261"/>
      <x:c r="K21" s="30"/>
      <x:c r="L21" s="30"/>
      <x:c r="M21" s="30"/>
      <x:c r="N21" s="30"/>
      <x:c r="O21" s="30"/>
      <x:c r="P21" s="82" t="str">
        <x:f>IF($A21="","",SUM(L21:O21))</x:f>
      </x:c>
      <x:c r="Q21" s="261"/>
      <x:c r="R21" s="261"/>
      <x:c r="S21" s="261"/>
      <x:c r="T21" s="261"/>
      <x:c r="U21" s="261"/>
      <x:c r="V21" s="261"/>
      <x:c r="W21" s="261"/>
    </x:row>
    <x:row r="22" ht="15" hidden="0" customHeight="1">
      <x:c r="A22" s="22"/>
      <x:c r="B22" s="29"/>
      <x:c r="C22" s="22"/>
      <x:c r="D22" s="22"/>
      <x:c r="E22" s="22"/>
      <x:c r="F22" s="22"/>
      <x:c r="G22" s="22"/>
      <x:c r="H22" s="261"/>
      <x:c r="I22" s="261"/>
      <x:c r="J22" s="261"/>
      <x:c r="K22" s="30"/>
      <x:c r="L22" s="30"/>
      <x:c r="M22" s="30"/>
      <x:c r="N22" s="30"/>
      <x:c r="O22" s="30"/>
      <x:c r="P22" s="82" t="str">
        <x:f>IF($A22="","",SUM(L22:O22))</x:f>
      </x:c>
      <x:c r="Q22" s="261"/>
      <x:c r="R22" s="261"/>
      <x:c r="S22" s="261"/>
      <x:c r="T22" s="261"/>
      <x:c r="U22" s="261"/>
      <x:c r="V22" s="261"/>
      <x:c r="W22" s="261"/>
    </x:row>
    <x:row r="23" ht="15" hidden="0" customHeight="1">
      <x:c r="A23" s="22"/>
      <x:c r="B23" s="29"/>
      <x:c r="C23" s="22"/>
      <x:c r="D23" s="22"/>
      <x:c r="E23" s="22"/>
      <x:c r="F23" s="22"/>
      <x:c r="G23" s="22"/>
      <x:c r="H23" s="261"/>
      <x:c r="I23" s="261"/>
      <x:c r="J23" s="261"/>
      <x:c r="K23" s="30"/>
      <x:c r="L23" s="30"/>
      <x:c r="M23" s="30"/>
      <x:c r="N23" s="30"/>
      <x:c r="O23" s="30"/>
      <x:c r="P23" s="82" t="str">
        <x:f>IF($A23="","",SUM(L23:O23))</x:f>
      </x:c>
      <x:c r="Q23" s="261"/>
      <x:c r="R23" s="261"/>
      <x:c r="S23" s="261"/>
      <x:c r="T23" s="261"/>
      <x:c r="U23" s="261"/>
      <x:c r="V23" s="261"/>
      <x:c r="W23" s="261"/>
    </x:row>
    <x:row r="24" ht="15" hidden="0" customHeight="1">
      <x:c r="A24" s="22"/>
      <x:c r="B24" s="29"/>
      <x:c r="C24" s="22"/>
      <x:c r="D24" s="22"/>
      <x:c r="E24" s="22"/>
      <x:c r="F24" s="22"/>
      <x:c r="G24" s="22"/>
      <x:c r="H24" s="261"/>
      <x:c r="I24" s="261"/>
      <x:c r="J24" s="261"/>
      <x:c r="K24" s="30"/>
      <x:c r="L24" s="30"/>
      <x:c r="M24" s="30"/>
      <x:c r="N24" s="30"/>
      <x:c r="O24" s="30"/>
      <x:c r="P24" s="82" t="str">
        <x:f>IF($A24="","",SUM(L24:O24))</x:f>
      </x:c>
      <x:c r="Q24" s="261"/>
      <x:c r="R24" s="261"/>
      <x:c r="S24" s="261"/>
      <x:c r="T24" s="261"/>
      <x:c r="U24" s="261"/>
      <x:c r="V24" s="261"/>
      <x:c r="W24" s="261"/>
    </x:row>
    <x:row r="25" ht="15" hidden="0" customHeight="1">
      <x:c r="A25" s="22"/>
      <x:c r="B25" s="29"/>
      <x:c r="C25" s="22"/>
      <x:c r="D25" s="22"/>
      <x:c r="E25" s="22"/>
      <x:c r="F25" s="22"/>
      <x:c r="G25" s="22"/>
      <x:c r="H25" s="261"/>
      <x:c r="I25" s="261"/>
      <x:c r="J25" s="261"/>
      <x:c r="K25" s="30"/>
      <x:c r="L25" s="30"/>
      <x:c r="M25" s="30"/>
      <x:c r="N25" s="30"/>
      <x:c r="O25" s="30"/>
      <x:c r="P25" s="82" t="str">
        <x:f>IF($A25="","",SUM(L25:O25))</x:f>
      </x:c>
      <x:c r="Q25" s="261"/>
      <x:c r="R25" s="261"/>
      <x:c r="S25" s="261"/>
      <x:c r="T25" s="261"/>
      <x:c r="U25" s="261"/>
      <x:c r="V25" s="261"/>
      <x:c r="W25" s="261"/>
    </x:row>
    <x:row r="26" ht="15" hidden="0" customHeight="1">
      <x:c r="A26" s="22"/>
      <x:c r="B26" s="29"/>
      <x:c r="C26" s="22"/>
      <x:c r="D26" s="22"/>
      <x:c r="E26" s="22"/>
      <x:c r="F26" s="22"/>
      <x:c r="G26" s="22"/>
      <x:c r="H26" s="261"/>
      <x:c r="I26" s="261"/>
      <x:c r="J26" s="261"/>
      <x:c r="K26" s="30"/>
      <x:c r="L26" s="30"/>
      <x:c r="M26" s="30"/>
      <x:c r="N26" s="30"/>
      <x:c r="O26" s="30"/>
      <x:c r="P26" s="82" t="str">
        <x:f>IF($A26="","",SUM(L26:O26))</x:f>
      </x:c>
      <x:c r="Q26" s="261"/>
      <x:c r="R26" s="261"/>
      <x:c r="S26" s="261"/>
      <x:c r="T26" s="261"/>
      <x:c r="U26" s="261"/>
      <x:c r="V26" s="261"/>
      <x:c r="W26" s="261"/>
    </x:row>
    <x:row r="27" ht="15" hidden="0" customHeight="1">
      <x:c r="A27" s="22"/>
      <x:c r="B27" s="29"/>
      <x:c r="C27" s="22"/>
      <x:c r="D27" s="22"/>
      <x:c r="E27" s="22"/>
      <x:c r="F27" s="22"/>
      <x:c r="G27" s="22"/>
      <x:c r="H27" s="261"/>
      <x:c r="I27" s="261"/>
      <x:c r="J27" s="261"/>
      <x:c r="K27" s="30"/>
      <x:c r="L27" s="30"/>
      <x:c r="M27" s="30"/>
      <x:c r="N27" s="30"/>
      <x:c r="O27" s="30"/>
      <x:c r="P27" s="82" t="str">
        <x:f>IF($A27="","",SUM(L27:O27))</x:f>
      </x:c>
      <x:c r="Q27" s="261"/>
      <x:c r="R27" s="261"/>
      <x:c r="S27" s="261"/>
      <x:c r="T27" s="261"/>
      <x:c r="U27" s="261"/>
      <x:c r="V27" s="261"/>
      <x:c r="W27" s="261"/>
    </x:row>
    <x:row r="28" ht="15" hidden="0" customHeight="1">
      <x:c r="A28" s="22"/>
      <x:c r="B28" s="29"/>
      <x:c r="C28" s="22"/>
      <x:c r="D28" s="22"/>
      <x:c r="E28" s="22"/>
      <x:c r="F28" s="22"/>
      <x:c r="G28" s="22"/>
      <x:c r="H28" s="261"/>
      <x:c r="I28" s="261"/>
      <x:c r="J28" s="261"/>
      <x:c r="K28" s="30"/>
      <x:c r="L28" s="30"/>
      <x:c r="M28" s="30"/>
      <x:c r="N28" s="30"/>
      <x:c r="O28" s="30"/>
      <x:c r="P28" s="82" t="str">
        <x:f>IF($A28="","",SUM(L28:O28))</x:f>
      </x:c>
      <x:c r="Q28" s="261"/>
      <x:c r="R28" s="261"/>
      <x:c r="S28" s="261"/>
      <x:c r="T28" s="261"/>
      <x:c r="U28" s="261"/>
      <x:c r="V28" s="261"/>
      <x:c r="W28" s="261"/>
    </x:row>
    <x:row r="29" ht="15" hidden="0" customHeight="1">
      <x:c r="A29" s="22"/>
      <x:c r="B29" s="29"/>
      <x:c r="C29" s="22"/>
      <x:c r="D29" s="22"/>
      <x:c r="E29" s="22"/>
      <x:c r="F29" s="22"/>
      <x:c r="G29" s="22"/>
      <x:c r="H29" s="261"/>
      <x:c r="I29" s="261"/>
      <x:c r="J29" s="261"/>
      <x:c r="K29" s="30"/>
      <x:c r="L29" s="30"/>
      <x:c r="M29" s="30"/>
      <x:c r="N29" s="30"/>
      <x:c r="O29" s="30"/>
      <x:c r="P29" s="82" t="str">
        <x:f>IF($A29="","",SUM(L29:O29))</x:f>
      </x:c>
      <x:c r="Q29" s="261"/>
      <x:c r="R29" s="261"/>
      <x:c r="S29" s="261"/>
      <x:c r="T29" s="261"/>
      <x:c r="U29" s="261"/>
      <x:c r="V29" s="261"/>
      <x:c r="W29" s="261"/>
    </x:row>
    <x:row r="30" ht="15" hidden="0" customHeight="1">
      <x:c r="A30" s="22"/>
      <x:c r="B30" s="29"/>
      <x:c r="C30" s="22"/>
      <x:c r="D30" s="22"/>
      <x:c r="E30" s="22"/>
      <x:c r="F30" s="22"/>
      <x:c r="G30" s="22"/>
      <x:c r="H30" s="261"/>
      <x:c r="I30" s="261"/>
      <x:c r="J30" s="261"/>
      <x:c r="K30" s="30"/>
      <x:c r="L30" s="30"/>
      <x:c r="M30" s="30"/>
      <x:c r="N30" s="30"/>
      <x:c r="O30" s="30"/>
      <x:c r="P30" s="82" t="str">
        <x:f>IF($A30="","",SUM(L30:O30))</x:f>
      </x:c>
      <x:c r="Q30" s="261"/>
      <x:c r="R30" s="261"/>
      <x:c r="S30" s="261"/>
      <x:c r="T30" s="261"/>
      <x:c r="U30" s="261"/>
      <x:c r="V30" s="261"/>
      <x:c r="W30" s="261"/>
    </x:row>
    <x:row r="31" ht="15" hidden="0" customHeight="1">
      <x:c r="A31" s="22"/>
      <x:c r="B31" s="29"/>
      <x:c r="C31" s="22"/>
      <x:c r="D31" s="22"/>
      <x:c r="E31" s="22"/>
      <x:c r="F31" s="22"/>
      <x:c r="G31" s="22"/>
      <x:c r="H31" s="261"/>
      <x:c r="I31" s="261"/>
      <x:c r="J31" s="261"/>
      <x:c r="K31" s="30"/>
      <x:c r="L31" s="30"/>
      <x:c r="M31" s="30"/>
      <x:c r="N31" s="30"/>
      <x:c r="O31" s="30"/>
      <x:c r="P31" s="82" t="str">
        <x:f>IF($A31="","",SUM(L31:O31))</x:f>
      </x:c>
      <x:c r="Q31" s="261"/>
      <x:c r="R31" s="261"/>
      <x:c r="S31" s="261"/>
      <x:c r="T31" s="261"/>
      <x:c r="U31" s="261"/>
      <x:c r="V31" s="261"/>
      <x:c r="W31" s="261"/>
    </x:row>
    <x:row r="32" ht="15" hidden="0" customHeight="1">
      <x:c r="A32" s="22"/>
      <x:c r="B32" s="29"/>
      <x:c r="C32" s="22"/>
      <x:c r="D32" s="22"/>
      <x:c r="E32" s="22"/>
      <x:c r="F32" s="22"/>
      <x:c r="G32" s="22"/>
      <x:c r="H32" s="261"/>
      <x:c r="I32" s="261"/>
      <x:c r="J32" s="261"/>
      <x:c r="K32" s="30"/>
      <x:c r="L32" s="30"/>
      <x:c r="M32" s="30"/>
      <x:c r="N32" s="30"/>
      <x:c r="O32" s="30"/>
      <x:c r="P32" s="82" t="str">
        <x:f>IF($A32="","",SUM(L32:O32))</x:f>
      </x:c>
      <x:c r="Q32" s="261"/>
      <x:c r="R32" s="261"/>
      <x:c r="S32" s="261"/>
      <x:c r="T32" s="261"/>
      <x:c r="U32" s="261"/>
      <x:c r="V32" s="261"/>
      <x:c r="W32" s="261"/>
    </x:row>
    <x:row r="33" ht="15" hidden="0" customHeight="1">
      <x:c r="A33" s="22"/>
      <x:c r="B33" s="29"/>
      <x:c r="C33" s="22"/>
      <x:c r="D33" s="22"/>
      <x:c r="E33" s="22"/>
      <x:c r="F33" s="22"/>
      <x:c r="G33" s="22"/>
      <x:c r="H33" s="261"/>
      <x:c r="I33" s="261"/>
      <x:c r="J33" s="261"/>
      <x:c r="K33" s="30"/>
      <x:c r="L33" s="30"/>
      <x:c r="M33" s="30"/>
      <x:c r="N33" s="30"/>
      <x:c r="O33" s="30"/>
      <x:c r="P33" s="82" t="str">
        <x:f>IF($A33="","",SUM(L33:O33))</x:f>
      </x:c>
      <x:c r="Q33" s="261"/>
      <x:c r="R33" s="261"/>
      <x:c r="S33" s="261"/>
      <x:c r="T33" s="261"/>
      <x:c r="U33" s="261"/>
      <x:c r="V33" s="261"/>
      <x:c r="W33" s="261"/>
    </x:row>
    <x:row r="34" ht="15" hidden="0" customHeight="1">
      <x:c r="A34" s="22"/>
      <x:c r="B34" s="29"/>
      <x:c r="C34" s="22"/>
      <x:c r="D34" s="22"/>
      <x:c r="E34" s="22"/>
      <x:c r="F34" s="22"/>
      <x:c r="G34" s="22"/>
      <x:c r="H34" s="261"/>
      <x:c r="I34" s="261"/>
      <x:c r="J34" s="261"/>
      <x:c r="K34" s="30"/>
      <x:c r="L34" s="30"/>
      <x:c r="M34" s="30"/>
      <x:c r="N34" s="30"/>
      <x:c r="O34" s="30"/>
      <x:c r="P34" s="82" t="str">
        <x:f>IF($A34="","",SUM(L34:O34))</x:f>
      </x:c>
      <x:c r="Q34" s="261"/>
      <x:c r="R34" s="261"/>
      <x:c r="S34" s="261"/>
      <x:c r="T34" s="261"/>
      <x:c r="U34" s="261"/>
      <x:c r="V34" s="261"/>
      <x:c r="W34" s="261"/>
    </x:row>
    <x:row r="35" ht="15" hidden="0" customHeight="1">
      <x:c r="A35" s="22"/>
      <x:c r="B35" s="29"/>
      <x:c r="C35" s="22"/>
      <x:c r="D35" s="22"/>
      <x:c r="E35" s="22"/>
      <x:c r="F35" s="22"/>
      <x:c r="G35" s="22"/>
      <x:c r="H35" s="261"/>
      <x:c r="I35" s="261"/>
      <x:c r="J35" s="261"/>
      <x:c r="K35" s="30"/>
      <x:c r="L35" s="30"/>
      <x:c r="M35" s="30"/>
      <x:c r="N35" s="30"/>
      <x:c r="O35" s="30"/>
      <x:c r="P35" s="82" t="str">
        <x:f>IF($A35="","",SUM(L35:O35))</x:f>
      </x:c>
      <x:c r="Q35" s="261"/>
      <x:c r="R35" s="261"/>
      <x:c r="S35" s="261"/>
      <x:c r="T35" s="261"/>
      <x:c r="U35" s="261"/>
      <x:c r="V35" s="261"/>
      <x:c r="W35" s="261"/>
    </x:row>
    <x:row r="36" ht="15" hidden="0" customHeight="1">
      <x:c r="A36" s="22"/>
      <x:c r="B36" s="29"/>
      <x:c r="C36" s="22"/>
      <x:c r="D36" s="22"/>
      <x:c r="E36" s="22"/>
      <x:c r="F36" s="22"/>
      <x:c r="G36" s="22"/>
      <x:c r="H36" s="261"/>
      <x:c r="I36" s="261"/>
      <x:c r="J36" s="261"/>
      <x:c r="K36" s="30"/>
      <x:c r="L36" s="30"/>
      <x:c r="M36" s="30"/>
      <x:c r="N36" s="30"/>
      <x:c r="O36" s="30"/>
      <x:c r="P36" s="82" t="str">
        <x:f>IF($A36="","",SUM(L36:O36))</x:f>
      </x:c>
      <x:c r="Q36" s="261"/>
      <x:c r="R36" s="261"/>
      <x:c r="S36" s="261"/>
      <x:c r="T36" s="261"/>
      <x:c r="U36" s="261"/>
      <x:c r="V36" s="261"/>
      <x:c r="W36" s="261"/>
    </x:row>
    <x:row r="37" ht="15" hidden="0" customHeight="1">
      <x:c r="A37" s="22"/>
      <x:c r="B37" s="29"/>
      <x:c r="C37" s="22"/>
      <x:c r="D37" s="22"/>
      <x:c r="E37" s="22"/>
      <x:c r="F37" s="22"/>
      <x:c r="G37" s="22"/>
      <x:c r="H37" s="261"/>
      <x:c r="I37" s="261"/>
      <x:c r="J37" s="261"/>
      <x:c r="K37" s="30"/>
      <x:c r="L37" s="30"/>
      <x:c r="M37" s="30"/>
      <x:c r="N37" s="30"/>
      <x:c r="O37" s="30"/>
      <x:c r="P37" s="82" t="str">
        <x:f>IF($A37="","",SUM(L37:O37))</x:f>
      </x:c>
      <x:c r="Q37" s="261"/>
      <x:c r="R37" s="261"/>
      <x:c r="S37" s="261"/>
      <x:c r="T37" s="261"/>
      <x:c r="U37" s="261"/>
      <x:c r="V37" s="261"/>
      <x:c r="W37" s="261"/>
    </x:row>
    <x:row r="38" ht="15" hidden="0" customHeight="1">
      <x:c r="A38" s="22"/>
      <x:c r="B38" s="29"/>
      <x:c r="C38" s="22"/>
      <x:c r="D38" s="22"/>
      <x:c r="E38" s="22"/>
      <x:c r="F38" s="22"/>
      <x:c r="G38" s="22"/>
      <x:c r="H38" s="261"/>
      <x:c r="I38" s="261"/>
      <x:c r="J38" s="261"/>
      <x:c r="K38" s="30"/>
      <x:c r="L38" s="30"/>
      <x:c r="M38" s="30"/>
      <x:c r="N38" s="30"/>
      <x:c r="O38" s="30"/>
      <x:c r="P38" s="82" t="str">
        <x:f>IF($A38="","",SUM(L38:O38))</x:f>
      </x:c>
      <x:c r="Q38" s="261"/>
      <x:c r="R38" s="261"/>
      <x:c r="S38" s="261"/>
      <x:c r="T38" s="261"/>
      <x:c r="U38" s="261"/>
      <x:c r="V38" s="261"/>
      <x:c r="W38" s="261"/>
    </x:row>
    <x:row r="39" ht="15" hidden="0" customHeight="1">
      <x:c r="A39" s="22"/>
      <x:c r="B39" s="29"/>
      <x:c r="C39" s="22"/>
      <x:c r="D39" s="22"/>
      <x:c r="E39" s="22"/>
      <x:c r="F39" s="22"/>
      <x:c r="G39" s="22"/>
      <x:c r="H39" s="261"/>
      <x:c r="I39" s="261"/>
      <x:c r="J39" s="261"/>
      <x:c r="K39" s="30"/>
      <x:c r="L39" s="30"/>
      <x:c r="M39" s="30"/>
      <x:c r="N39" s="30"/>
      <x:c r="O39" s="30"/>
      <x:c r="P39" s="82" t="str">
        <x:f>IF($A39="","",SUM(L39:O39))</x:f>
      </x:c>
      <x:c r="Q39" s="261"/>
      <x:c r="R39" s="261"/>
      <x:c r="S39" s="261"/>
      <x:c r="T39" s="261"/>
      <x:c r="U39" s="261"/>
      <x:c r="V39" s="261"/>
      <x:c r="W39" s="261"/>
    </x:row>
    <x:row r="40" ht="15" hidden="0" customHeight="1">
      <x:c r="A40" s="22"/>
      <x:c r="B40" s="29"/>
      <x:c r="C40" s="22"/>
      <x:c r="D40" s="22"/>
      <x:c r="E40" s="22"/>
      <x:c r="F40" s="22"/>
      <x:c r="G40" s="22"/>
      <x:c r="H40" s="261"/>
      <x:c r="I40" s="261"/>
      <x:c r="J40" s="261"/>
      <x:c r="K40" s="30"/>
      <x:c r="L40" s="30"/>
      <x:c r="M40" s="30"/>
      <x:c r="N40" s="30"/>
      <x:c r="O40" s="30"/>
      <x:c r="P40" s="82" t="str">
        <x:f>IF($A40="","",SUM(L40:O40))</x:f>
      </x:c>
      <x:c r="Q40" s="261"/>
      <x:c r="R40" s="261"/>
      <x:c r="S40" s="261"/>
      <x:c r="T40" s="261"/>
      <x:c r="U40" s="261"/>
      <x:c r="V40" s="261"/>
      <x:c r="W40" s="261"/>
    </x:row>
    <x:row r="41" ht="15" hidden="0" customHeight="1">
      <x:c r="A41" s="22"/>
      <x:c r="B41" s="29"/>
      <x:c r="C41" s="22"/>
      <x:c r="D41" s="22"/>
      <x:c r="E41" s="22"/>
      <x:c r="F41" s="22"/>
      <x:c r="G41" s="22"/>
      <x:c r="H41" s="261"/>
      <x:c r="I41" s="261"/>
      <x:c r="J41" s="261"/>
      <x:c r="K41" s="30"/>
      <x:c r="L41" s="30"/>
      <x:c r="M41" s="30"/>
      <x:c r="N41" s="30"/>
      <x:c r="O41" s="30"/>
      <x:c r="P41" s="82" t="str">
        <x:f>IF($A41="","",SUM(L41:O41))</x:f>
      </x:c>
      <x:c r="Q41" s="261"/>
      <x:c r="R41" s="261"/>
      <x:c r="S41" s="261"/>
      <x:c r="T41" s="261"/>
      <x:c r="U41" s="261"/>
      <x:c r="V41" s="261"/>
      <x:c r="W41" s="261"/>
    </x:row>
    <x:row r="42" ht="15" hidden="0" customHeight="1">
      <x:c r="A42" s="22"/>
      <x:c r="B42" s="29"/>
      <x:c r="C42" s="22"/>
      <x:c r="D42" s="22"/>
      <x:c r="E42" s="22"/>
      <x:c r="F42" s="22"/>
      <x:c r="G42" s="22"/>
      <x:c r="H42" s="261"/>
      <x:c r="I42" s="261"/>
      <x:c r="J42" s="261"/>
      <x:c r="K42" s="30"/>
      <x:c r="L42" s="30"/>
      <x:c r="M42" s="30"/>
      <x:c r="N42" s="30"/>
      <x:c r="O42" s="30"/>
      <x:c r="P42" s="82" t="str">
        <x:f>IF($A42="","",SUM(L42:O42))</x:f>
      </x:c>
      <x:c r="Q42" s="261"/>
      <x:c r="R42" s="261"/>
      <x:c r="S42" s="261"/>
      <x:c r="T42" s="261"/>
      <x:c r="U42" s="261"/>
      <x:c r="V42" s="261"/>
      <x:c r="W42" s="261"/>
    </x:row>
    <x:row r="43" ht="15" hidden="0" customHeight="1">
      <x:c r="A43" s="22"/>
      <x:c r="B43" s="29"/>
      <x:c r="C43" s="22"/>
      <x:c r="D43" s="22"/>
      <x:c r="E43" s="22"/>
      <x:c r="F43" s="22"/>
      <x:c r="G43" s="22"/>
      <x:c r="H43" s="261"/>
      <x:c r="I43" s="261"/>
      <x:c r="J43" s="261"/>
      <x:c r="K43" s="30"/>
      <x:c r="L43" s="30"/>
      <x:c r="M43" s="30"/>
      <x:c r="N43" s="30"/>
      <x:c r="O43" s="30"/>
      <x:c r="P43" s="82" t="str">
        <x:f>IF($A43="","",SUM(L43:O43))</x:f>
      </x:c>
      <x:c r="Q43" s="261"/>
      <x:c r="R43" s="261"/>
      <x:c r="S43" s="261"/>
      <x:c r="T43" s="261"/>
      <x:c r="U43" s="261"/>
      <x:c r="V43" s="261"/>
      <x:c r="W43" s="261"/>
    </x:row>
    <x:row r="44" ht="15" hidden="0" customHeight="1">
      <x:c r="A44" s="22"/>
      <x:c r="B44" s="29"/>
      <x:c r="C44" s="22"/>
      <x:c r="D44" s="22"/>
      <x:c r="E44" s="22"/>
      <x:c r="F44" s="22"/>
      <x:c r="G44" s="22"/>
      <x:c r="H44" s="261"/>
      <x:c r="I44" s="261"/>
      <x:c r="J44" s="261"/>
      <x:c r="K44" s="30"/>
      <x:c r="L44" s="30"/>
      <x:c r="M44" s="30"/>
      <x:c r="N44" s="30"/>
      <x:c r="O44" s="30"/>
      <x:c r="P44" s="82" t="str">
        <x:f>IF($A44="","",SUM(L44:O44))</x:f>
      </x:c>
      <x:c r="Q44" s="261"/>
      <x:c r="R44" s="261"/>
      <x:c r="S44" s="261"/>
      <x:c r="T44" s="261"/>
      <x:c r="U44" s="261"/>
      <x:c r="V44" s="261"/>
      <x:c r="W44" s="261"/>
    </x:row>
    <x:row r="45" ht="15" hidden="0" customHeight="1">
      <x:c r="A45" s="22"/>
      <x:c r="B45" s="29"/>
      <x:c r="C45" s="22"/>
      <x:c r="D45" s="22"/>
      <x:c r="E45" s="22"/>
      <x:c r="F45" s="22"/>
      <x:c r="G45" s="22"/>
      <x:c r="H45" s="261"/>
      <x:c r="I45" s="261"/>
      <x:c r="J45" s="261"/>
      <x:c r="K45" s="30"/>
      <x:c r="L45" s="30"/>
      <x:c r="M45" s="30"/>
      <x:c r="N45" s="30"/>
      <x:c r="O45" s="30"/>
      <x:c r="P45" s="82" t="str">
        <x:f>IF($A45="","",SUM(L45:O45))</x:f>
      </x:c>
      <x:c r="Q45" s="261"/>
      <x:c r="R45" s="261"/>
      <x:c r="S45" s="261"/>
      <x:c r="T45" s="261"/>
      <x:c r="U45" s="261"/>
      <x:c r="V45" s="261"/>
      <x:c r="W45" s="261"/>
    </x:row>
    <x:row r="46" ht="15" hidden="0" customHeight="1">
      <x:c r="A46" s="22"/>
      <x:c r="B46" s="29"/>
      <x:c r="C46" s="22"/>
      <x:c r="D46" s="22"/>
      <x:c r="E46" s="22"/>
      <x:c r="F46" s="22"/>
      <x:c r="G46" s="22"/>
      <x:c r="H46" s="261"/>
      <x:c r="I46" s="261"/>
      <x:c r="J46" s="261"/>
      <x:c r="K46" s="30"/>
      <x:c r="L46" s="30"/>
      <x:c r="M46" s="30"/>
      <x:c r="N46" s="30"/>
      <x:c r="O46" s="30"/>
      <x:c r="P46" s="82" t="str">
        <x:f>IF($A46="","",SUM(L46:O46))</x:f>
      </x:c>
      <x:c r="Q46" s="261"/>
      <x:c r="R46" s="261"/>
      <x:c r="S46" s="261"/>
      <x:c r="T46" s="261"/>
      <x:c r="U46" s="261"/>
      <x:c r="V46" s="261"/>
      <x:c r="W46" s="261"/>
    </x:row>
    <x:row r="47" ht="15" hidden="0" customHeight="1">
      <x:c r="A47" s="22"/>
      <x:c r="B47" s="29"/>
      <x:c r="C47" s="22"/>
      <x:c r="D47" s="22"/>
      <x:c r="E47" s="22"/>
      <x:c r="F47" s="22"/>
      <x:c r="G47" s="22"/>
      <x:c r="H47" s="261"/>
      <x:c r="I47" s="261"/>
      <x:c r="J47" s="261"/>
      <x:c r="K47" s="30"/>
      <x:c r="L47" s="30"/>
      <x:c r="M47" s="30"/>
      <x:c r="N47" s="30"/>
      <x:c r="O47" s="30"/>
      <x:c r="P47" s="82" t="str">
        <x:f>IF($A47="","",SUM(L47:O47))</x:f>
      </x:c>
      <x:c r="Q47" s="261"/>
      <x:c r="R47" s="261"/>
      <x:c r="S47" s="261"/>
      <x:c r="T47" s="261"/>
      <x:c r="U47" s="261"/>
      <x:c r="V47" s="261"/>
      <x:c r="W47" s="261"/>
    </x:row>
    <x:row r="48" ht="15" hidden="0" customHeight="1">
      <x:c r="A48" s="22"/>
      <x:c r="B48" s="29"/>
      <x:c r="C48" s="22"/>
      <x:c r="D48" s="22"/>
      <x:c r="E48" s="22"/>
      <x:c r="F48" s="22"/>
      <x:c r="G48" s="22"/>
      <x:c r="H48" s="261"/>
      <x:c r="I48" s="261"/>
      <x:c r="J48" s="261"/>
      <x:c r="K48" s="30"/>
      <x:c r="L48" s="30"/>
      <x:c r="M48" s="30"/>
      <x:c r="N48" s="30"/>
      <x:c r="O48" s="30"/>
      <x:c r="P48" s="82" t="str">
        <x:f>IF($A48="","",SUM(L48:O48))</x:f>
      </x:c>
      <x:c r="Q48" s="261"/>
      <x:c r="R48" s="261"/>
      <x:c r="S48" s="261"/>
      <x:c r="T48" s="261"/>
      <x:c r="U48" s="261"/>
      <x:c r="V48" s="261"/>
      <x:c r="W48" s="261"/>
    </x:row>
    <x:row r="49" ht="15" hidden="0" customHeight="1">
      <x:c r="A49" s="22"/>
      <x:c r="B49" s="29"/>
      <x:c r="C49" s="22"/>
      <x:c r="D49" s="22"/>
      <x:c r="E49" s="22"/>
      <x:c r="F49" s="22"/>
      <x:c r="G49" s="22"/>
      <x:c r="H49" s="261"/>
      <x:c r="I49" s="261"/>
      <x:c r="J49" s="261"/>
      <x:c r="K49" s="30"/>
      <x:c r="L49" s="30"/>
      <x:c r="M49" s="30"/>
      <x:c r="N49" s="30"/>
      <x:c r="O49" s="30"/>
      <x:c r="P49" s="82" t="str">
        <x:f>IF($A49="","",SUM(L49:O49))</x:f>
      </x:c>
      <x:c r="Q49" s="261"/>
      <x:c r="R49" s="261"/>
      <x:c r="S49" s="261"/>
      <x:c r="T49" s="261"/>
      <x:c r="U49" s="261"/>
      <x:c r="V49" s="261"/>
      <x:c r="W49" s="261"/>
    </x:row>
    <x:row r="50" ht="15" hidden="0" customHeight="1">
      <x:c r="A50" s="22"/>
      <x:c r="B50" s="29"/>
      <x:c r="C50" s="22"/>
      <x:c r="D50" s="22"/>
      <x:c r="E50" s="22"/>
      <x:c r="F50" s="22"/>
      <x:c r="G50" s="22"/>
      <x:c r="H50" s="261"/>
      <x:c r="I50" s="261"/>
      <x:c r="J50" s="261"/>
      <x:c r="K50" s="30"/>
      <x:c r="L50" s="30"/>
      <x:c r="M50" s="30"/>
      <x:c r="N50" s="30"/>
      <x:c r="O50" s="30"/>
      <x:c r="P50" s="82" t="str">
        <x:f>IF($A50="","",SUM(L50:O50))</x:f>
      </x:c>
      <x:c r="Q50" s="261"/>
      <x:c r="R50" s="261"/>
      <x:c r="S50" s="261"/>
      <x:c r="T50" s="261"/>
      <x:c r="U50" s="261"/>
      <x:c r="V50" s="261"/>
      <x:c r="W50" s="261"/>
    </x:row>
    <x:row r="51" ht="15" hidden="0" customHeight="1">
      <x:c r="A51" s="22"/>
      <x:c r="B51" s="29"/>
      <x:c r="C51" s="22"/>
      <x:c r="D51" s="22"/>
      <x:c r="E51" s="22"/>
      <x:c r="F51" s="22"/>
      <x:c r="G51" s="22"/>
      <x:c r="H51" s="261"/>
      <x:c r="I51" s="261"/>
      <x:c r="J51" s="261"/>
      <x:c r="K51" s="30"/>
      <x:c r="L51" s="30"/>
      <x:c r="M51" s="30"/>
      <x:c r="N51" s="30"/>
      <x:c r="O51" s="30"/>
      <x:c r="P51" s="82" t="str">
        <x:f>IF($A51="","",SUM(L51:O51))</x:f>
      </x:c>
      <x:c r="Q51" s="261"/>
      <x:c r="R51" s="261"/>
      <x:c r="S51" s="261"/>
      <x:c r="T51" s="261"/>
      <x:c r="U51" s="261"/>
      <x:c r="V51" s="261"/>
      <x:c r="W51" s="261"/>
    </x:row>
    <x:row r="52" ht="15" hidden="0" customHeight="1">
      <x:c r="A52" s="22"/>
      <x:c r="B52" s="29"/>
      <x:c r="C52" s="22"/>
      <x:c r="D52" s="22"/>
      <x:c r="E52" s="22"/>
      <x:c r="F52" s="22"/>
      <x:c r="G52" s="22"/>
      <x:c r="H52" s="261"/>
      <x:c r="I52" s="261"/>
      <x:c r="J52" s="261"/>
      <x:c r="K52" s="30"/>
      <x:c r="L52" s="30"/>
      <x:c r="M52" s="30"/>
      <x:c r="N52" s="30"/>
      <x:c r="O52" s="30"/>
      <x:c r="P52" s="82" t="str">
        <x:f>IF($A52="","",SUM(L52:O52))</x:f>
      </x:c>
      <x:c r="Q52" s="261"/>
      <x:c r="R52" s="261"/>
      <x:c r="S52" s="261"/>
      <x:c r="T52" s="261"/>
      <x:c r="U52" s="261"/>
      <x:c r="V52" s="261"/>
      <x:c r="W52" s="261"/>
    </x:row>
    <x:row r="53" ht="15" hidden="0" customHeight="1">
      <x:c r="A53" s="22"/>
      <x:c r="B53" s="29"/>
      <x:c r="C53" s="22"/>
      <x:c r="D53" s="22"/>
      <x:c r="E53" s="22"/>
      <x:c r="F53" s="22"/>
      <x:c r="G53" s="22"/>
      <x:c r="H53" s="261"/>
      <x:c r="I53" s="261"/>
      <x:c r="J53" s="261"/>
      <x:c r="K53" s="30"/>
      <x:c r="L53" s="30"/>
      <x:c r="M53" s="30"/>
      <x:c r="N53" s="30"/>
      <x:c r="O53" s="30"/>
      <x:c r="P53" s="82" t="str">
        <x:f>IF($A53="","",SUM(L53:O53))</x:f>
      </x:c>
      <x:c r="Q53" s="261"/>
      <x:c r="R53" s="261"/>
      <x:c r="S53" s="261"/>
      <x:c r="T53" s="261"/>
      <x:c r="U53" s="261"/>
      <x:c r="V53" s="261"/>
      <x:c r="W53" s="261"/>
    </x:row>
    <x:row r="54" ht="15" hidden="0" customHeight="1">
      <x:c r="A54" s="22"/>
      <x:c r="B54" s="29"/>
      <x:c r="C54" s="22"/>
      <x:c r="D54" s="22"/>
      <x:c r="E54" s="22"/>
      <x:c r="F54" s="22"/>
      <x:c r="G54" s="22"/>
      <x:c r="H54" s="261"/>
      <x:c r="I54" s="261"/>
      <x:c r="J54" s="261"/>
      <x:c r="K54" s="30"/>
      <x:c r="L54" s="30"/>
      <x:c r="M54" s="30"/>
      <x:c r="N54" s="30"/>
      <x:c r="O54" s="30"/>
      <x:c r="P54" s="82" t="str">
        <x:f>IF($A54="","",SUM(L54:O54))</x:f>
      </x:c>
      <x:c r="Q54" s="261"/>
      <x:c r="R54" s="261"/>
      <x:c r="S54" s="261"/>
      <x:c r="T54" s="261"/>
      <x:c r="U54" s="261"/>
      <x:c r="V54" s="261"/>
      <x:c r="W54" s="261"/>
    </x:row>
    <x:row r="55" ht="15" hidden="0" customHeight="1">
      <x:c r="A55" s="22"/>
      <x:c r="B55" s="29"/>
      <x:c r="C55" s="22"/>
      <x:c r="D55" s="22"/>
      <x:c r="E55" s="22"/>
      <x:c r="F55" s="22"/>
      <x:c r="G55" s="22"/>
      <x:c r="H55" s="261"/>
      <x:c r="I55" s="261"/>
      <x:c r="J55" s="261"/>
      <x:c r="K55" s="30"/>
      <x:c r="L55" s="30"/>
      <x:c r="M55" s="30"/>
      <x:c r="N55" s="30"/>
      <x:c r="O55" s="30"/>
      <x:c r="P55" s="82" t="str">
        <x:f>IF($A55="","",SUM(L55:O55))</x:f>
      </x:c>
      <x:c r="Q55" s="261"/>
      <x:c r="R55" s="261"/>
      <x:c r="S55" s="261"/>
      <x:c r="T55" s="261"/>
      <x:c r="U55" s="261"/>
      <x:c r="V55" s="261"/>
      <x:c r="W55" s="261"/>
    </x:row>
    <x:row r="56" ht="15" hidden="0" customHeight="1">
      <x:c r="A56" s="22"/>
      <x:c r="B56" s="29"/>
      <x:c r="C56" s="22"/>
      <x:c r="D56" s="22"/>
      <x:c r="E56" s="22"/>
      <x:c r="F56" s="22"/>
      <x:c r="G56" s="22"/>
      <x:c r="H56" s="261"/>
      <x:c r="I56" s="261"/>
      <x:c r="J56" s="261"/>
      <x:c r="K56" s="30"/>
      <x:c r="L56" s="30"/>
      <x:c r="M56" s="30"/>
      <x:c r="N56" s="30"/>
      <x:c r="O56" s="30"/>
      <x:c r="P56" s="82" t="str">
        <x:f>IF($A56="","",SUM(L56:O56))</x:f>
      </x:c>
      <x:c r="Q56" s="261"/>
      <x:c r="R56" s="261"/>
      <x:c r="S56" s="261"/>
      <x:c r="T56" s="261"/>
      <x:c r="U56" s="261"/>
      <x:c r="V56" s="261"/>
      <x:c r="W56" s="261"/>
    </x:row>
    <x:row r="57" ht="15" hidden="0" customHeight="1">
      <x:c r="A57" s="22"/>
      <x:c r="B57" s="29"/>
      <x:c r="C57" s="22"/>
      <x:c r="D57" s="22"/>
      <x:c r="E57" s="22"/>
      <x:c r="F57" s="22"/>
      <x:c r="G57" s="22"/>
      <x:c r="H57" s="261"/>
      <x:c r="I57" s="261"/>
      <x:c r="J57" s="261"/>
      <x:c r="K57" s="30"/>
      <x:c r="L57" s="30"/>
      <x:c r="M57" s="30"/>
      <x:c r="N57" s="30"/>
      <x:c r="O57" s="30"/>
      <x:c r="P57" s="82" t="str">
        <x:f>IF($A57="","",SUM(L57:O57))</x:f>
      </x:c>
      <x:c r="Q57" s="261"/>
      <x:c r="R57" s="261"/>
      <x:c r="S57" s="261"/>
      <x:c r="T57" s="261"/>
      <x:c r="U57" s="261"/>
      <x:c r="V57" s="261"/>
      <x:c r="W57" s="261"/>
    </x:row>
    <x:row r="58" ht="15" hidden="0" customHeight="1">
      <x:c r="A58" s="22"/>
      <x:c r="B58" s="29"/>
      <x:c r="C58" s="22"/>
      <x:c r="D58" s="22"/>
      <x:c r="E58" s="22"/>
      <x:c r="F58" s="22"/>
      <x:c r="G58" s="22"/>
      <x:c r="H58" s="261"/>
      <x:c r="I58" s="261"/>
      <x:c r="J58" s="261"/>
      <x:c r="K58" s="30"/>
      <x:c r="L58" s="30"/>
      <x:c r="M58" s="30"/>
      <x:c r="N58" s="30"/>
      <x:c r="O58" s="30"/>
      <x:c r="P58" s="82" t="str">
        <x:f>IF($A58="","",SUM(L58:O58))</x:f>
      </x:c>
      <x:c r="Q58" s="261"/>
      <x:c r="R58" s="261"/>
      <x:c r="S58" s="261"/>
      <x:c r="T58" s="261"/>
      <x:c r="U58" s="261"/>
      <x:c r="V58" s="261"/>
      <x:c r="W58" s="261"/>
    </x:row>
    <x:row r="59" ht="15" hidden="0" customHeight="1">
      <x:c r="A59" s="22"/>
      <x:c r="B59" s="29"/>
      <x:c r="C59" s="22"/>
      <x:c r="D59" s="22"/>
      <x:c r="E59" s="22"/>
      <x:c r="F59" s="22"/>
      <x:c r="G59" s="22"/>
      <x:c r="H59" s="261"/>
      <x:c r="I59" s="261"/>
      <x:c r="J59" s="261"/>
      <x:c r="K59" s="30"/>
      <x:c r="L59" s="30"/>
      <x:c r="M59" s="30"/>
      <x:c r="N59" s="30"/>
      <x:c r="O59" s="30"/>
      <x:c r="P59" s="82" t="str">
        <x:f>IF($A59="","",SUM(L59:O59))</x:f>
      </x:c>
      <x:c r="Q59" s="261"/>
      <x:c r="R59" s="261"/>
      <x:c r="S59" s="261"/>
      <x:c r="T59" s="261"/>
      <x:c r="U59" s="261"/>
      <x:c r="V59" s="261"/>
      <x:c r="W59" s="261"/>
    </x:row>
    <x:row r="60" ht="15" hidden="0" customHeight="1">
      <x:c r="A60" s="22"/>
      <x:c r="B60" s="29"/>
      <x:c r="C60" s="22"/>
      <x:c r="D60" s="22"/>
      <x:c r="E60" s="22"/>
      <x:c r="F60" s="22"/>
      <x:c r="G60" s="22"/>
      <x:c r="H60" s="261"/>
      <x:c r="I60" s="261"/>
      <x:c r="J60" s="261"/>
      <x:c r="K60" s="30"/>
      <x:c r="L60" s="30"/>
      <x:c r="M60" s="30"/>
      <x:c r="N60" s="30"/>
      <x:c r="O60" s="30"/>
      <x:c r="P60" s="82" t="str">
        <x:f>IF($A60="","",SUM(L60:O60))</x:f>
      </x:c>
      <x:c r="Q60" s="261"/>
      <x:c r="R60" s="261"/>
      <x:c r="S60" s="261"/>
      <x:c r="T60" s="261"/>
      <x:c r="U60" s="261"/>
      <x:c r="V60" s="261"/>
      <x:c r="W60" s="261"/>
    </x:row>
    <x:row r="61" ht="15" hidden="0" customHeight="1">
      <x:c r="A61" s="22"/>
      <x:c r="B61" s="29"/>
      <x:c r="C61" s="22"/>
      <x:c r="D61" s="22"/>
      <x:c r="E61" s="22"/>
      <x:c r="F61" s="22"/>
      <x:c r="G61" s="22"/>
      <x:c r="H61" s="261"/>
      <x:c r="I61" s="261"/>
      <x:c r="J61" s="261"/>
      <x:c r="K61" s="30"/>
      <x:c r="L61" s="30"/>
      <x:c r="M61" s="30"/>
      <x:c r="N61" s="30"/>
      <x:c r="O61" s="30"/>
      <x:c r="P61" s="82" t="str">
        <x:f>IF($A61="","",SUM(L61:O61))</x:f>
      </x:c>
      <x:c r="Q61" s="261"/>
      <x:c r="R61" s="261"/>
      <x:c r="S61" s="261"/>
      <x:c r="T61" s="261"/>
      <x:c r="U61" s="261"/>
      <x:c r="V61" s="261"/>
      <x:c r="W61" s="261"/>
    </x:row>
    <x:row r="62" ht="15" hidden="0" customHeight="1">
      <x:c r="A62" s="22"/>
      <x:c r="B62" s="29"/>
      <x:c r="C62" s="22"/>
      <x:c r="D62" s="22"/>
      <x:c r="E62" s="22"/>
      <x:c r="F62" s="22"/>
      <x:c r="G62" s="22"/>
      <x:c r="H62" s="261"/>
      <x:c r="I62" s="261"/>
      <x:c r="J62" s="261"/>
      <x:c r="K62" s="30"/>
      <x:c r="L62" s="30"/>
      <x:c r="M62" s="30"/>
      <x:c r="N62" s="30"/>
      <x:c r="O62" s="30"/>
      <x:c r="P62" s="82" t="str">
        <x:f>IF($A62="","",SUM(L62:O62))</x:f>
      </x:c>
      <x:c r="Q62" s="261"/>
      <x:c r="R62" s="261"/>
      <x:c r="S62" s="261"/>
      <x:c r="T62" s="261"/>
      <x:c r="U62" s="261"/>
      <x:c r="V62" s="261"/>
      <x:c r="W62" s="261"/>
    </x:row>
    <x:row r="63" ht="15" hidden="0" customHeight="1">
      <x:c r="A63" s="22"/>
      <x:c r="B63" s="29"/>
      <x:c r="C63" s="22"/>
      <x:c r="D63" s="22"/>
      <x:c r="E63" s="22"/>
      <x:c r="F63" s="22"/>
      <x:c r="G63" s="22"/>
      <x:c r="H63" s="261"/>
      <x:c r="I63" s="261"/>
      <x:c r="J63" s="261"/>
      <x:c r="K63" s="30"/>
      <x:c r="L63" s="30"/>
      <x:c r="M63" s="30"/>
      <x:c r="N63" s="30"/>
      <x:c r="O63" s="30"/>
      <x:c r="P63" s="82" t="str">
        <x:f>IF($A63="","",SUM(L63:O63))</x:f>
      </x:c>
      <x:c r="Q63" s="261"/>
      <x:c r="R63" s="261"/>
      <x:c r="S63" s="261"/>
      <x:c r="T63" s="261"/>
      <x:c r="U63" s="261"/>
      <x:c r="V63" s="261"/>
      <x:c r="W63" s="261"/>
    </x:row>
    <x:row r="64" ht="15" hidden="0" customHeight="1">
      <x:c r="A64" s="22"/>
      <x:c r="B64" s="29"/>
      <x:c r="C64" s="22"/>
      <x:c r="D64" s="22"/>
      <x:c r="E64" s="22"/>
      <x:c r="F64" s="22"/>
      <x:c r="G64" s="22"/>
      <x:c r="H64" s="261"/>
      <x:c r="I64" s="261"/>
      <x:c r="J64" s="261"/>
      <x:c r="K64" s="30"/>
      <x:c r="L64" s="30"/>
      <x:c r="M64" s="30"/>
      <x:c r="N64" s="30"/>
      <x:c r="O64" s="30"/>
      <x:c r="P64" s="82" t="str">
        <x:f>IF($A64="","",SUM(L64:O64))</x:f>
      </x:c>
      <x:c r="Q64" s="261"/>
      <x:c r="R64" s="261"/>
      <x:c r="S64" s="261"/>
      <x:c r="T64" s="261"/>
      <x:c r="U64" s="261"/>
      <x:c r="V64" s="261"/>
      <x:c r="W64" s="261"/>
    </x:row>
    <x:row r="65" ht="15" hidden="0" customHeight="1">
      <x:c r="A65" s="22"/>
      <x:c r="B65" s="29"/>
      <x:c r="C65" s="22"/>
      <x:c r="D65" s="22"/>
      <x:c r="E65" s="22"/>
      <x:c r="F65" s="22"/>
      <x:c r="G65" s="22"/>
      <x:c r="H65" s="261"/>
      <x:c r="I65" s="261"/>
      <x:c r="J65" s="261"/>
      <x:c r="K65" s="30"/>
      <x:c r="L65" s="30"/>
      <x:c r="M65" s="30"/>
      <x:c r="N65" s="30"/>
      <x:c r="O65" s="30"/>
      <x:c r="P65" s="82" t="str">
        <x:f>IF($A65="","",SUM(L65:O65))</x:f>
      </x:c>
      <x:c r="Q65" s="261"/>
      <x:c r="R65" s="261"/>
      <x:c r="S65" s="261"/>
      <x:c r="T65" s="261"/>
      <x:c r="U65" s="261"/>
      <x:c r="V65" s="261"/>
      <x:c r="W65" s="261"/>
    </x:row>
    <x:row r="66" ht="15" hidden="0" customHeight="1">
      <x:c r="A66" s="22"/>
      <x:c r="B66" s="29"/>
      <x:c r="C66" s="22"/>
      <x:c r="D66" s="22"/>
      <x:c r="E66" s="22"/>
      <x:c r="F66" s="22"/>
      <x:c r="G66" s="22"/>
      <x:c r="H66" s="261"/>
      <x:c r="I66" s="261"/>
      <x:c r="J66" s="261"/>
      <x:c r="K66" s="30"/>
      <x:c r="L66" s="30"/>
      <x:c r="M66" s="30"/>
      <x:c r="N66" s="30"/>
      <x:c r="O66" s="30"/>
      <x:c r="P66" s="82" t="str">
        <x:f>IF($A66="","",SUM(L66:O66))</x:f>
      </x:c>
      <x:c r="Q66" s="261"/>
      <x:c r="R66" s="261"/>
      <x:c r="S66" s="261"/>
      <x:c r="T66" s="261"/>
      <x:c r="U66" s="261"/>
      <x:c r="V66" s="261"/>
      <x:c r="W66" s="261"/>
    </x:row>
    <x:row r="67" ht="15" hidden="0" customHeight="1">
      <x:c r="A67" s="22"/>
      <x:c r="B67" s="29"/>
      <x:c r="C67" s="22"/>
      <x:c r="D67" s="22"/>
      <x:c r="E67" s="22"/>
      <x:c r="F67" s="22"/>
      <x:c r="G67" s="22"/>
      <x:c r="H67" s="261"/>
      <x:c r="I67" s="261"/>
      <x:c r="J67" s="261"/>
      <x:c r="K67" s="30"/>
      <x:c r="L67" s="30"/>
      <x:c r="M67" s="30"/>
      <x:c r="N67" s="30"/>
      <x:c r="O67" s="30"/>
      <x:c r="P67" s="82" t="str">
        <x:f>IF($A67="","",SUM(L67:O67))</x:f>
      </x:c>
      <x:c r="Q67" s="261"/>
      <x:c r="R67" s="261"/>
      <x:c r="S67" s="261"/>
      <x:c r="T67" s="261"/>
      <x:c r="U67" s="261"/>
      <x:c r="V67" s="261"/>
      <x:c r="W67" s="261"/>
    </x:row>
    <x:row r="68" ht="15" hidden="0" customHeight="1">
      <x:c r="A68" s="22"/>
      <x:c r="B68" s="29"/>
      <x:c r="C68" s="22"/>
      <x:c r="D68" s="22"/>
      <x:c r="E68" s="22"/>
      <x:c r="F68" s="22"/>
      <x:c r="G68" s="22"/>
      <x:c r="H68" s="261"/>
      <x:c r="I68" s="261"/>
      <x:c r="J68" s="261"/>
      <x:c r="K68" s="30"/>
      <x:c r="L68" s="30"/>
      <x:c r="M68" s="30"/>
      <x:c r="N68" s="30"/>
      <x:c r="O68" s="30"/>
      <x:c r="P68" s="82" t="str">
        <x:f>IF($A68="","",SUM(L68:O68))</x:f>
      </x:c>
      <x:c r="Q68" s="261"/>
      <x:c r="R68" s="261"/>
      <x:c r="S68" s="261"/>
      <x:c r="T68" s="261"/>
      <x:c r="U68" s="261"/>
      <x:c r="V68" s="261"/>
      <x:c r="W68" s="261"/>
    </x:row>
    <x:row r="69" ht="15" hidden="0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  <x:c r="T69" s="3"/>
      <x:c r="U69" s="3"/>
      <x:c r="V69" s="3"/>
      <x:c r="W69" s="3"/>
    </x:row>
    <x:row r="70" ht="15" hidden="0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  <x:c r="W70" s="3"/>
    </x:row>
  </x:sheetData>
  <x:mergeCells>
    <x:mergeCell ref="A1:W2"/>
    <x:mergeCell ref="A3:W3"/>
    <x:mergeCell ref="B5:C5"/>
    <x:mergeCell ref="E5:F5"/>
    <x:mergeCell ref="H5:I5"/>
    <x:mergeCell ref="K5:L5"/>
    <x:mergeCell ref="N5:O5"/>
  </x:mergeCells>
  <x:conditionalFormatting sqref="Q5:Q5">
    <x:cfRule type="containsText" dxfId="224" priority="1" operator="containsText" text="قرمز"/>
    <x:cfRule type="containsText" dxfId="225" priority="2" operator="containsText" text="بحرانی"/>
    <x:cfRule type="containsText" dxfId="226" priority="3" operator="containsText" text="رد"/>
    <x:cfRule type="containsText" dxfId="227" priority="4" operator="containsText" text="متوقف"/>
    <x:cfRule type="containsText" dxfId="228" priority="5" operator="containsText" text="عقب‌افتاده"/>
    <x:cfRule type="containsText" dxfId="229" priority="6" operator="containsText" text="نامعتبر"/>
    <x:cfRule type="containsText" dxfId="230" priority="7" operator="containsText" text="زرد"/>
    <x:cfRule type="containsText" dxfId="231" priority="8" operator="containsText" text="باز"/>
    <x:cfRule type="containsText" dxfId="232" priority="9" operator="containsText" text="نیازمند اصلاح"/>
    <x:cfRule type="containsText" dxfId="233" priority="10" operator="containsText" text="در انتظار"/>
    <x:cfRule type="containsText" dxfId="234" priority="11" operator="containsText" text="نمونه آموزشی"/>
    <x:cfRule type="containsText" dxfId="235" priority="12" operator="containsText" text="سبز"/>
    <x:cfRule type="containsText" dxfId="236" priority="13" operator="containsText" text="بسته"/>
    <x:cfRule type="containsText" dxfId="237" priority="14" operator="containsText" text="تأیید"/>
    <x:cfRule type="containsText" dxfId="238" priority="15" operator="containsText" text="آزادشده"/>
    <x:cfRule type="containsText" dxfId="239" priority="16" operator="containsText" text="انجام‌شده"/>
    <x:cfRule type="containsText" dxfId="240" priority="17" operator="containsText" text="خاکستری"/>
    <x:cfRule type="containsText" dxfId="241" priority="18" operator="containsText" text="نابالغ"/>
    <x:cfRule type="containsText" dxfId="242" priority="19" operator="containsText" text="پنجره کامل نشده"/>
    <x:cfRule type="containsText" dxfId="243" priority="20" operator="containsText" text="n.a."/>
  </x:conditionalFormatting>
  <x:conditionalFormatting sqref="J9:J68">
    <x:cfRule type="containsText" dxfId="244" priority="21" operator="containsText" text="قرمز"/>
    <x:cfRule type="containsText" dxfId="245" priority="22" operator="containsText" text="بحرانی"/>
    <x:cfRule type="containsText" dxfId="246" priority="23" operator="containsText" text="رد"/>
    <x:cfRule type="containsText" dxfId="247" priority="24" operator="containsText" text="متوقف"/>
    <x:cfRule type="containsText" dxfId="248" priority="25" operator="containsText" text="عقب‌افتاده"/>
    <x:cfRule type="containsText" dxfId="249" priority="26" operator="containsText" text="نامعتبر"/>
    <x:cfRule type="containsText" dxfId="250" priority="27" operator="containsText" text="زرد"/>
    <x:cfRule type="containsText" dxfId="251" priority="28" operator="containsText" text="باز"/>
    <x:cfRule type="containsText" dxfId="252" priority="29" operator="containsText" text="نیازمند اصلاح"/>
    <x:cfRule type="containsText" dxfId="253" priority="30" operator="containsText" text="در انتظار"/>
    <x:cfRule type="containsText" dxfId="254" priority="31" operator="containsText" text="نمونه آموزشی"/>
    <x:cfRule type="containsText" dxfId="255" priority="32" operator="containsText" text="سبز"/>
    <x:cfRule type="containsText" dxfId="256" priority="33" operator="containsText" text="بسته"/>
    <x:cfRule type="containsText" dxfId="257" priority="34" operator="containsText" text="تأیید"/>
    <x:cfRule type="containsText" dxfId="258" priority="35" operator="containsText" text="آزادشده"/>
    <x:cfRule type="containsText" dxfId="259" priority="36" operator="containsText" text="انجام‌شده"/>
    <x:cfRule type="containsText" dxfId="260" priority="37" operator="containsText" text="خاکستری"/>
    <x:cfRule type="containsText" dxfId="261" priority="38" operator="containsText" text="نابالغ"/>
    <x:cfRule type="containsText" dxfId="262" priority="39" operator="containsText" text="پنجره کامل نشده"/>
    <x:cfRule type="containsText" dxfId="263" priority="40" operator="containsText" text="n.a."/>
  </x:conditionalFormatting>
  <x:conditionalFormatting sqref="S9:V68">
    <x:cfRule type="containsText" dxfId="264" priority="41" operator="containsText" text="قرمز"/>
    <x:cfRule type="containsText" dxfId="265" priority="42" operator="containsText" text="بحرانی"/>
    <x:cfRule type="containsText" dxfId="266" priority="43" operator="containsText" text="رد"/>
    <x:cfRule type="containsText" dxfId="267" priority="44" operator="containsText" text="متوقف"/>
    <x:cfRule type="containsText" dxfId="268" priority="45" operator="containsText" text="عقب‌افتاده"/>
    <x:cfRule type="containsText" dxfId="269" priority="46" operator="containsText" text="نامعتبر"/>
    <x:cfRule type="containsText" dxfId="270" priority="47" operator="containsText" text="زرد"/>
    <x:cfRule type="containsText" dxfId="271" priority="48" operator="containsText" text="باز"/>
    <x:cfRule type="containsText" dxfId="272" priority="49" operator="containsText" text="نیازمند اصلاح"/>
    <x:cfRule type="containsText" dxfId="273" priority="50" operator="containsText" text="در انتظار"/>
    <x:cfRule type="containsText" dxfId="274" priority="51" operator="containsText" text="نمونه آموزشی"/>
    <x:cfRule type="containsText" dxfId="275" priority="52" operator="containsText" text="سبز"/>
    <x:cfRule type="containsText" dxfId="276" priority="53" operator="containsText" text="بسته"/>
    <x:cfRule type="containsText" dxfId="277" priority="54" operator="containsText" text="تأیید"/>
    <x:cfRule type="containsText" dxfId="278" priority="55" operator="containsText" text="آزادشده"/>
    <x:cfRule type="containsText" dxfId="279" priority="56" operator="containsText" text="انجام‌شده"/>
    <x:cfRule type="containsText" dxfId="280" priority="57" operator="containsText" text="خاکستری"/>
    <x:cfRule type="containsText" dxfId="281" priority="58" operator="containsText" text="نابالغ"/>
    <x:cfRule type="containsText" dxfId="282" priority="59" operator="containsText" text="پنجره کامل نشده"/>
    <x:cfRule type="containsText" dxfId="283" priority="60" operator="containsText" text="n.a."/>
  </x:conditionalFormatting>
  <x:dataValidations count="5">
    <x:dataValidation type="list" sqref="H9:H68">
      <x:formula1>"مرجوعی,شکایت,گارانتی,عدم‌انطباق تأییدشده,لغو,سایر"</x:formula1>
    </x:dataValidation>
    <x:dataValidation type="list" sqref="J9:J68">
      <x:formula1>"کم,متوسط,شدید,بحرانی"</x:formula1>
    </x:dataValidation>
    <x:dataValidation type="list" sqref="S9:S68">
      <x:formula1>"خیر,بله,در بررسی"</x:formula1>
    </x:dataValidation>
    <x:dataValidation type="list" sqref="T9:T68">
      <x:formula1>"خیر,بله,در بررسی"</x:formula1>
    </x:dataValidation>
    <x:dataValidation type="list" sqref="V9:V68">
      <x:formula1>"باز,در بررسی,اقدام اصلاحی,بسته,رد"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B6954B"/>
  </x:sheetPr>
  <x:sheetViews>
    <x:sheetView showGridLines="0" workbookViewId="0">
      <x:pane xSplit="4" ySplit="12" topLeftCell="E13" activePane="bottomRigh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20" hidden="0" customWidth="1"/>
    <x:col min="5" max="5" width="32" hidden="0" customWidth="1"/>
    <x:col min="6" max="6" width="27" hidden="0" customWidth="1"/>
    <x:col min="7" max="7" width="25" hidden="0" customWidth="1"/>
    <x:col min="8" max="8" width="34" hidden="0" customWidth="1"/>
    <x:col min="9" max="9" width="34" hidden="0" customWidth="1"/>
    <x:col min="10" max="10" width="15" hidden="0" customWidth="1"/>
    <x:col min="11" max="11" width="14" hidden="0" customWidth="1"/>
    <x:col min="12" max="12" width="30" hidden="0" customWidth="1"/>
    <x:col min="13" max="13" width="28" hidden="0" customWidth="1"/>
    <x:col min="14" max="14" width="15" hidden="0" customWidth="1"/>
    <x:col min="15" max="15" width="14" hidden="0" customWidth="1"/>
    <x:col min="16" max="16" width="34" hidden="0" customWidth="1"/>
    <x:col min="17" max="17" width="25" hidden="0" customWidth="1"/>
  </x:cols>
  <x:sheetData>
    <x:row r="1" ht="34" customHeight="1">
      <x:c r="A1" s="7" t="str">
        <x:v>T07 | دفتر تصمیم</x:v>
      </x:c>
      <x:c r="B1" s="7" t="str">
        <x:v>T07 | دفتر تصمیم</x:v>
      </x:c>
      <x:c r="C1" s="7" t="str">
        <x:v>T07 | دفتر تصمیم</x:v>
      </x:c>
      <x:c r="D1" s="7" t="str">
        <x:v>T07 | دفتر تصمیم</x:v>
      </x:c>
      <x:c r="E1" s="7" t="str">
        <x:v>T07 | دفتر تصمیم</x:v>
      </x:c>
      <x:c r="F1" s="7" t="str">
        <x:v>T07 | دفتر تصمیم</x:v>
      </x:c>
      <x:c r="G1" s="7" t="str">
        <x:v>T07 | دفتر تصمیم</x:v>
      </x:c>
      <x:c r="H1" s="7" t="str">
        <x:v>T07 | دفتر تصمیم</x:v>
      </x:c>
      <x:c r="I1" s="7" t="str">
        <x:v>T07 | دفتر تصمیم</x:v>
      </x:c>
      <x:c r="J1" s="7" t="str">
        <x:v>T07 | دفتر تصمیم</x:v>
      </x:c>
      <x:c r="K1" s="7" t="str">
        <x:v>T07 | دفتر تصمیم</x:v>
      </x:c>
      <x:c r="L1" s="7" t="str">
        <x:v>T07 | دفتر تصمیم</x:v>
      </x:c>
      <x:c r="M1" s="7" t="str">
        <x:v>T07 | دفتر تصمیم</x:v>
      </x:c>
      <x:c r="N1" s="7" t="str">
        <x:v>T07 | دفتر تصمیم</x:v>
      </x:c>
      <x:c r="O1" s="7" t="str">
        <x:v>T07 | دفتر تصمیم</x:v>
      </x:c>
      <x:c r="P1" s="7" t="str">
        <x:v>T07 | دفتر تصمیم</x:v>
      </x:c>
      <x:c r="Q1" s="7" t="str">
        <x:v>T07 | دفتر تصمیم</x:v>
      </x:c>
    </x:row>
    <x:row r="2" ht="34" customHeight="1">
      <x:c r="A2" s="7" t="str">
        <x:v>T07 | دفتر تصمیم</x:v>
      </x:c>
      <x:c r="B2" s="7" t="str">
        <x:v>T07 | دفتر تصمیم</x:v>
      </x:c>
      <x:c r="C2" s="7" t="str">
        <x:v>T07 | دفتر تصمیم</x:v>
      </x:c>
      <x:c r="D2" s="7" t="str">
        <x:v>T07 | دفتر تصمیم</x:v>
      </x:c>
      <x:c r="E2" s="7" t="str">
        <x:v>T07 | دفتر تصمیم</x:v>
      </x:c>
      <x:c r="F2" s="7" t="str">
        <x:v>T07 | دفتر تصمیم</x:v>
      </x:c>
      <x:c r="G2" s="7" t="str">
        <x:v>T07 | دفتر تصمیم</x:v>
      </x:c>
      <x:c r="H2" s="7" t="str">
        <x:v>T07 | دفتر تصمیم</x:v>
      </x:c>
      <x:c r="I2" s="7" t="str">
        <x:v>T07 | دفتر تصمیم</x:v>
      </x:c>
      <x:c r="J2" s="7" t="str">
        <x:v>T07 | دفتر تصمیم</x:v>
      </x:c>
      <x:c r="K2" s="7" t="str">
        <x:v>T07 | دفتر تصمیم</x:v>
      </x:c>
      <x:c r="L2" s="7" t="str">
        <x:v>T07 | دفتر تصمیم</x:v>
      </x:c>
      <x:c r="M2" s="7" t="str">
        <x:v>T07 | دفتر تصمیم</x:v>
      </x:c>
      <x:c r="N2" s="7" t="str">
        <x:v>T07 | دفتر تصمیم</x:v>
      </x:c>
      <x:c r="O2" s="7" t="str">
        <x:v>T07 | دفتر تصمیم</x:v>
      </x:c>
      <x:c r="P2" s="7" t="str">
        <x:v>T07 | دفتر تصمیم</x:v>
      </x:c>
      <x:c r="Q2" s="7" t="str">
        <x:v>T07 | دفتر تصمیم</x:v>
      </x:c>
    </x:row>
    <x:row r="3" ht="15" hidden="0" customHeight="1">
      <x:c r="A3" s="89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B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C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D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E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F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G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H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I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J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K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L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M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N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O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P3" s="90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  <x:c r="Q3" s="91" t="str">
        <x:v>جلسه هفتگی باید با یک تصمیم، مالک و موعد بسته شود. عددی که هیچ تصمیمی را تغییر نمی‌دهد یا فرضی را نمی‌آزماید، در داشبورد اصلی جای زیادی گرفته است.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15" hidden="0" customHeight="1">
      <x:c r="A5" s="96" t="str">
        <x:v>تصمیم این هفته</x:v>
      </x:c>
      <x:c r="B5" s="96" t="str">
        <x:f>IF(COUNTIFS($N$13:$N$52,"باز")=0,"تصمیم باز ثبت نشده",INDEX($I$13:$I$52,MATCH("باز",$N$13:$N$52,0)))</x:f>
        <x:v>بودجه ثابت بماند و صفحه محصول اصلاح شود.</x:v>
      </x:c>
      <x:c r="C5" s="96" t="str"/>
      <x:c r="D5" s="96" t="str"/>
      <x:c r="E5" s="96" t="str"/>
      <x:c r="F5" s="96" t="str">
        <x:v>مالک</x:v>
      </x:c>
      <x:c r="G5" s="96" t="str">
        <x:f>IF(COUNTIFS($N$13:$N$52,"باز")=0,"",INDEX($J$13:$J$52,MATCH("باز",$N$13:$N$52,0)))</x:f>
        <x:v>فروش</x:v>
      </x:c>
      <x:c r="H5" s="96" t="str"/>
      <x:c r="I5" s="96" t="str">
        <x:v>موعد</x:v>
      </x:c>
      <x:c r="J5" s="145" t="n">
        <x:f>IF(COUNTIFS($N$13:$N$52,"باز")=0,"",INDEX($K$13:$K$52,MATCH("باز",$N$13:$N$52,0)))</x:f>
        <x:v>46310</x:v>
      </x:c>
      <x:c r="K5" s="145" t="str"/>
      <x:c r="L5" s="96" t="str">
        <x:v>وضعیت</x:v>
      </x:c>
      <x:c r="M5" s="96" t="str">
        <x:f>IF(COUNTIFS($N$13:$N$52,"باز")=0,"خاکستری","باز")</x:f>
        <x:v>باز</x:v>
      </x:c>
      <x:c r="N5" s="96" t="str"/>
      <x:c r="O5" s="96" t="str"/>
      <x:c r="P5" s="3"/>
      <x:c r="Q5" s="3"/>
    </x:row>
    <x:row r="6" ht="15" hidden="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15" hidden="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15" hidden="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15" hidden="0" customHeight="1">
      <x:c r="A9" s="26" t="str">
        <x:v>تصمیم‌ها و بازبینی</x:v>
      </x:c>
      <x:c r="B9" s="27" t="str">
        <x:v>تصمیم‌ها و بازبینی</x:v>
      </x:c>
      <x:c r="C9" s="27" t="str">
        <x:v>تصمیم‌ها و بازبینی</x:v>
      </x:c>
      <x:c r="D9" s="27" t="str">
        <x:v>تصمیم‌ها و بازبینی</x:v>
      </x:c>
      <x:c r="E9" s="27" t="str">
        <x:v>تصمیم‌ها و بازبینی</x:v>
      </x:c>
      <x:c r="F9" s="27" t="str">
        <x:v>تصمیم‌ها و بازبینی</x:v>
      </x:c>
      <x:c r="G9" s="27" t="str">
        <x:v>تصمیم‌ها و بازبینی</x:v>
      </x:c>
      <x:c r="H9" s="27" t="str">
        <x:v>تصمیم‌ها و بازبینی</x:v>
      </x:c>
      <x:c r="I9" s="27" t="str">
        <x:v>تصمیم‌ها و بازبینی</x:v>
      </x:c>
      <x:c r="J9" s="27" t="str">
        <x:v>تصمیم‌ها و بازبینی</x:v>
      </x:c>
      <x:c r="K9" s="27" t="str">
        <x:v>تصمیم‌ها و بازبینی</x:v>
      </x:c>
      <x:c r="L9" s="27" t="str">
        <x:v>تصمیم‌ها و بازبینی</x:v>
      </x:c>
      <x:c r="M9" s="27" t="str">
        <x:v>تصمیم‌ها و بازبینی</x:v>
      </x:c>
      <x:c r="N9" s="27" t="str">
        <x:v>تصمیم‌ها و بازبینی</x:v>
      </x:c>
      <x:c r="O9" s="27" t="str">
        <x:v>تصمیم‌ها و بازبینی</x:v>
      </x:c>
      <x:c r="P9" s="27" t="str">
        <x:v>تصمیم‌ها و بازبینی</x:v>
      </x:c>
      <x:c r="Q9" s="28" t="str">
        <x:v>تصمیم‌ها و بازبینی</x:v>
      </x:c>
    </x:row>
    <x:row r="10" ht="15" hidden="0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</x:row>
    <x:row r="11" ht="15" hidden="0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15" hidden="0" customHeight="1">
      <x:c r="A12" s="41" t="str">
        <x:v>شناسه</x:v>
      </x:c>
      <x:c r="B12" s="41" t="str">
        <x:v>تاریخ</x:v>
      </x:c>
      <x:c r="C12" s="41" t="str">
        <x:v>دوره</x:v>
      </x:c>
      <x:c r="D12" s="41" t="str">
        <x:v>موضوع</x:v>
      </x:c>
      <x:c r="E12" s="41" t="str">
        <x:v>سیگنال و شاهد</x:v>
      </x:c>
      <x:c r="F12" s="41" t="str">
        <x:v>خط پایه</x:v>
      </x:c>
      <x:c r="G12" s="41" t="str">
        <x:v>آستانه / گیت</x:v>
      </x:c>
      <x:c r="H12" s="41" t="str">
        <x:v>گزینه‌ها</x:v>
      </x:c>
      <x:c r="I12" s="41" t="str">
        <x:v>تصمیم</x:v>
      </x:c>
      <x:c r="J12" s="41" t="str">
        <x:v>مالک</x:v>
      </x:c>
      <x:c r="K12" s="41" t="str">
        <x:v>موعد</x:v>
      </x:c>
      <x:c r="L12" s="41" t="str">
        <x:v>اثر مورد انتظار</x:v>
      </x:c>
      <x:c r="M12" s="41" t="str">
        <x:v>اثر واقعی</x:v>
      </x:c>
      <x:c r="N12" s="41" t="str">
        <x:v>وضعیت</x:v>
      </x:c>
      <x:c r="O12" s="41" t="str">
        <x:v>تاریخ بازبینی</x:v>
      </x:c>
      <x:c r="P12" s="41" t="str">
        <x:v>معیار بازگشت</x:v>
      </x:c>
      <x:c r="Q12" s="41" t="str">
        <x:v>منبع / شاهد</x:v>
      </x:c>
    </x:row>
    <x:row r="13" ht="24" hidden="0" customHeight="1">
      <x:c r="A13" s="22" t="str">
        <x:v>DEC-DEMO-01</x:v>
      </x:c>
      <x:c r="B13" s="29" t="n">
        <x:v>46280</x:v>
      </x:c>
      <x:c r="C13" s="22" t="str">
        <x:v>هفته ۱</x:v>
      </x:c>
      <x:c r="D13" s="261" t="str">
        <x:v>بودجه جذب</x:v>
      </x:c>
      <x:c r="E13" s="261" t="str">
        <x:v>تبدیل کمتر از هدف و CAC بالاتر از حد</x:v>
      </x:c>
      <x:c r="F13" s="261" t="str">
        <x:v>تبدیل ۱.۹٪ و CAC حدود ۱۸۹ هزار تومان</x:v>
      </x:c>
      <x:c r="G13" s="261" t="str">
        <x:v>حداقل ۳۰۰ سفارش و CM2 مثبت</x:v>
      </x:c>
      <x:c r="H13" s="261" t="str">
        <x:v>ادامه محدود / اصلاح صفحه / افزایش بودجه / توقف</x:v>
      </x:c>
      <x:c r="I13" s="261" t="str">
        <x:v>بودجه ثابت بماند و صفحه محصول اصلاح شود.</x:v>
      </x:c>
      <x:c r="J13" s="261" t="str">
        <x:v>فروش</x:v>
      </x:c>
      <x:c r="K13" s="264" t="n">
        <x:v>46310</x:v>
      </x:c>
      <x:c r="L13" s="261" t="str">
        <x:v>تبدیل به ۲.۵٪ برسد و CM2 مثبت بماند.</x:v>
      </x:c>
      <x:c r="M13" s="261" t="str"/>
      <x:c r="N13" s="261" t="str">
        <x:v>باز</x:v>
      </x:c>
      <x:c r="O13" s="264" t="n">
        <x:v>46311</x:v>
      </x:c>
      <x:c r="P13" s="261" t="str">
        <x:v>اگر CM2 منفی یا مرجوعی بیش از ۴٪ شد، آزمایش متوقف شود.</x:v>
      </x:c>
      <x:c r="Q13" s="261" t="str">
        <x:v>SRC-DEMO / EXP-DEMO-01</x:v>
      </x:c>
    </x:row>
    <x:row r="14" ht="15" hidden="0" customHeight="1">
      <x:c r="A14" s="22"/>
      <x:c r="B14" s="29"/>
      <x:c r="C14" s="22"/>
      <x:c r="D14" s="261"/>
      <x:c r="E14" s="261"/>
      <x:c r="F14" s="261"/>
      <x:c r="G14" s="261"/>
      <x:c r="H14" s="261"/>
      <x:c r="I14" s="261"/>
      <x:c r="J14" s="261"/>
      <x:c r="K14" s="264"/>
      <x:c r="L14" s="261"/>
      <x:c r="M14" s="261"/>
      <x:c r="N14" s="261"/>
      <x:c r="O14" s="264"/>
      <x:c r="P14" s="261"/>
      <x:c r="Q14" s="261"/>
    </x:row>
    <x:row r="15" ht="15" hidden="0" customHeight="1">
      <x:c r="A15" s="22"/>
      <x:c r="B15" s="29"/>
      <x:c r="C15" s="22"/>
      <x:c r="D15" s="261"/>
      <x:c r="E15" s="261"/>
      <x:c r="F15" s="261"/>
      <x:c r="G15" s="261"/>
      <x:c r="H15" s="261"/>
      <x:c r="I15" s="261"/>
      <x:c r="J15" s="261"/>
      <x:c r="K15" s="264"/>
      <x:c r="L15" s="261"/>
      <x:c r="M15" s="261"/>
      <x:c r="N15" s="261"/>
      <x:c r="O15" s="264"/>
      <x:c r="P15" s="261"/>
      <x:c r="Q15" s="261"/>
    </x:row>
    <x:row r="16" ht="15" hidden="0" customHeight="1">
      <x:c r="A16" s="22"/>
      <x:c r="B16" s="29"/>
      <x:c r="C16" s="22"/>
      <x:c r="D16" s="261"/>
      <x:c r="E16" s="261"/>
      <x:c r="F16" s="261"/>
      <x:c r="G16" s="261"/>
      <x:c r="H16" s="261"/>
      <x:c r="I16" s="261"/>
      <x:c r="J16" s="261"/>
      <x:c r="K16" s="264"/>
      <x:c r="L16" s="261"/>
      <x:c r="M16" s="261"/>
      <x:c r="N16" s="261"/>
      <x:c r="O16" s="264"/>
      <x:c r="P16" s="261"/>
      <x:c r="Q16" s="261"/>
    </x:row>
    <x:row r="17" ht="15" hidden="0" customHeight="1">
      <x:c r="A17" s="22"/>
      <x:c r="B17" s="29"/>
      <x:c r="C17" s="22"/>
      <x:c r="D17" s="261"/>
      <x:c r="E17" s="261"/>
      <x:c r="F17" s="261"/>
      <x:c r="G17" s="261"/>
      <x:c r="H17" s="261"/>
      <x:c r="I17" s="261"/>
      <x:c r="J17" s="261"/>
      <x:c r="K17" s="264"/>
      <x:c r="L17" s="261"/>
      <x:c r="M17" s="261"/>
      <x:c r="N17" s="261"/>
      <x:c r="O17" s="264"/>
      <x:c r="P17" s="261"/>
      <x:c r="Q17" s="261"/>
    </x:row>
    <x:row r="18" ht="15" hidden="0" customHeight="1">
      <x:c r="A18" s="22"/>
      <x:c r="B18" s="29"/>
      <x:c r="C18" s="22"/>
      <x:c r="D18" s="261"/>
      <x:c r="E18" s="261"/>
      <x:c r="F18" s="261"/>
      <x:c r="G18" s="261"/>
      <x:c r="H18" s="261"/>
      <x:c r="I18" s="261"/>
      <x:c r="J18" s="261"/>
      <x:c r="K18" s="264"/>
      <x:c r="L18" s="261"/>
      <x:c r="M18" s="261"/>
      <x:c r="N18" s="261"/>
      <x:c r="O18" s="264"/>
      <x:c r="P18" s="261"/>
      <x:c r="Q18" s="261"/>
    </x:row>
    <x:row r="19" ht="15" hidden="0" customHeight="1">
      <x:c r="A19" s="22"/>
      <x:c r="B19" s="29"/>
      <x:c r="C19" s="22"/>
      <x:c r="D19" s="261"/>
      <x:c r="E19" s="261"/>
      <x:c r="F19" s="261"/>
      <x:c r="G19" s="261"/>
      <x:c r="H19" s="261"/>
      <x:c r="I19" s="261"/>
      <x:c r="J19" s="261"/>
      <x:c r="K19" s="264"/>
      <x:c r="L19" s="261"/>
      <x:c r="M19" s="261"/>
      <x:c r="N19" s="261"/>
      <x:c r="O19" s="264"/>
      <x:c r="P19" s="261"/>
      <x:c r="Q19" s="261"/>
    </x:row>
    <x:row r="20" ht="15" hidden="0" customHeight="1">
      <x:c r="A20" s="22"/>
      <x:c r="B20" s="29"/>
      <x:c r="C20" s="22"/>
      <x:c r="D20" s="261"/>
      <x:c r="E20" s="261"/>
      <x:c r="F20" s="261"/>
      <x:c r="G20" s="261"/>
      <x:c r="H20" s="261"/>
      <x:c r="I20" s="261"/>
      <x:c r="J20" s="261"/>
      <x:c r="K20" s="264"/>
      <x:c r="L20" s="261"/>
      <x:c r="M20" s="261"/>
      <x:c r="N20" s="261"/>
      <x:c r="O20" s="264"/>
      <x:c r="P20" s="261"/>
      <x:c r="Q20" s="261"/>
    </x:row>
    <x:row r="21" ht="15" hidden="0" customHeight="1">
      <x:c r="A21" s="22"/>
      <x:c r="B21" s="29"/>
      <x:c r="C21" s="22"/>
      <x:c r="D21" s="261"/>
      <x:c r="E21" s="261"/>
      <x:c r="F21" s="261"/>
      <x:c r="G21" s="261"/>
      <x:c r="H21" s="261"/>
      <x:c r="I21" s="261"/>
      <x:c r="J21" s="261"/>
      <x:c r="K21" s="264"/>
      <x:c r="L21" s="261"/>
      <x:c r="M21" s="261"/>
      <x:c r="N21" s="261"/>
      <x:c r="O21" s="264"/>
      <x:c r="P21" s="261"/>
      <x:c r="Q21" s="261"/>
    </x:row>
    <x:row r="22" ht="15" hidden="0" customHeight="1">
      <x:c r="A22" s="22"/>
      <x:c r="B22" s="29"/>
      <x:c r="C22" s="22"/>
      <x:c r="D22" s="261"/>
      <x:c r="E22" s="261"/>
      <x:c r="F22" s="261"/>
      <x:c r="G22" s="261"/>
      <x:c r="H22" s="261"/>
      <x:c r="I22" s="261"/>
      <x:c r="J22" s="261"/>
      <x:c r="K22" s="264"/>
      <x:c r="L22" s="261"/>
      <x:c r="M22" s="261"/>
      <x:c r="N22" s="261"/>
      <x:c r="O22" s="264"/>
      <x:c r="P22" s="261"/>
      <x:c r="Q22" s="261"/>
    </x:row>
    <x:row r="23" ht="15" hidden="0" customHeight="1">
      <x:c r="A23" s="22"/>
      <x:c r="B23" s="29"/>
      <x:c r="C23" s="22"/>
      <x:c r="D23" s="261"/>
      <x:c r="E23" s="261"/>
      <x:c r="F23" s="261"/>
      <x:c r="G23" s="261"/>
      <x:c r="H23" s="261"/>
      <x:c r="I23" s="261"/>
      <x:c r="J23" s="261"/>
      <x:c r="K23" s="264"/>
      <x:c r="L23" s="261"/>
      <x:c r="M23" s="261"/>
      <x:c r="N23" s="261"/>
      <x:c r="O23" s="264"/>
      <x:c r="P23" s="261"/>
      <x:c r="Q23" s="261"/>
    </x:row>
    <x:row r="24" ht="15" hidden="0" customHeight="1">
      <x:c r="A24" s="22"/>
      <x:c r="B24" s="29"/>
      <x:c r="C24" s="22"/>
      <x:c r="D24" s="261"/>
      <x:c r="E24" s="261"/>
      <x:c r="F24" s="261"/>
      <x:c r="G24" s="261"/>
      <x:c r="H24" s="261"/>
      <x:c r="I24" s="261"/>
      <x:c r="J24" s="261"/>
      <x:c r="K24" s="264"/>
      <x:c r="L24" s="261"/>
      <x:c r="M24" s="261"/>
      <x:c r="N24" s="261"/>
      <x:c r="O24" s="264"/>
      <x:c r="P24" s="261"/>
      <x:c r="Q24" s="261"/>
    </x:row>
    <x:row r="25" ht="15" hidden="0" customHeight="1">
      <x:c r="A25" s="22"/>
      <x:c r="B25" s="29"/>
      <x:c r="C25" s="22"/>
      <x:c r="D25" s="261"/>
      <x:c r="E25" s="261"/>
      <x:c r="F25" s="261"/>
      <x:c r="G25" s="261"/>
      <x:c r="H25" s="261"/>
      <x:c r="I25" s="261"/>
      <x:c r="J25" s="261"/>
      <x:c r="K25" s="264"/>
      <x:c r="L25" s="261"/>
      <x:c r="M25" s="261"/>
      <x:c r="N25" s="261"/>
      <x:c r="O25" s="264"/>
      <x:c r="P25" s="261"/>
      <x:c r="Q25" s="261"/>
    </x:row>
    <x:row r="26" ht="15" hidden="0" customHeight="1">
      <x:c r="A26" s="22"/>
      <x:c r="B26" s="29"/>
      <x:c r="C26" s="22"/>
      <x:c r="D26" s="261"/>
      <x:c r="E26" s="261"/>
      <x:c r="F26" s="261"/>
      <x:c r="G26" s="261"/>
      <x:c r="H26" s="261"/>
      <x:c r="I26" s="261"/>
      <x:c r="J26" s="261"/>
      <x:c r="K26" s="264"/>
      <x:c r="L26" s="261"/>
      <x:c r="M26" s="261"/>
      <x:c r="N26" s="261"/>
      <x:c r="O26" s="264"/>
      <x:c r="P26" s="261"/>
      <x:c r="Q26" s="261"/>
    </x:row>
    <x:row r="27" ht="15" hidden="0" customHeight="1">
      <x:c r="A27" s="22"/>
      <x:c r="B27" s="29"/>
      <x:c r="C27" s="22"/>
      <x:c r="D27" s="261"/>
      <x:c r="E27" s="261"/>
      <x:c r="F27" s="261"/>
      <x:c r="G27" s="261"/>
      <x:c r="H27" s="261"/>
      <x:c r="I27" s="261"/>
      <x:c r="J27" s="261"/>
      <x:c r="K27" s="264"/>
      <x:c r="L27" s="261"/>
      <x:c r="M27" s="261"/>
      <x:c r="N27" s="261"/>
      <x:c r="O27" s="264"/>
      <x:c r="P27" s="261"/>
      <x:c r="Q27" s="261"/>
    </x:row>
    <x:row r="28" ht="15" hidden="0" customHeight="1">
      <x:c r="A28" s="22"/>
      <x:c r="B28" s="29"/>
      <x:c r="C28" s="22"/>
      <x:c r="D28" s="261"/>
      <x:c r="E28" s="261"/>
      <x:c r="F28" s="261"/>
      <x:c r="G28" s="261"/>
      <x:c r="H28" s="261"/>
      <x:c r="I28" s="261"/>
      <x:c r="J28" s="261"/>
      <x:c r="K28" s="264"/>
      <x:c r="L28" s="261"/>
      <x:c r="M28" s="261"/>
      <x:c r="N28" s="261"/>
      <x:c r="O28" s="264"/>
      <x:c r="P28" s="261"/>
      <x:c r="Q28" s="261"/>
    </x:row>
    <x:row r="29" ht="15" hidden="0" customHeight="1">
      <x:c r="A29" s="22"/>
      <x:c r="B29" s="29"/>
      <x:c r="C29" s="22"/>
      <x:c r="D29" s="261"/>
      <x:c r="E29" s="261"/>
      <x:c r="F29" s="261"/>
      <x:c r="G29" s="261"/>
      <x:c r="H29" s="261"/>
      <x:c r="I29" s="261"/>
      <x:c r="J29" s="261"/>
      <x:c r="K29" s="264"/>
      <x:c r="L29" s="261"/>
      <x:c r="M29" s="261"/>
      <x:c r="N29" s="261"/>
      <x:c r="O29" s="264"/>
      <x:c r="P29" s="261"/>
      <x:c r="Q29" s="261"/>
    </x:row>
    <x:row r="30" ht="15" hidden="0" customHeight="1">
      <x:c r="A30" s="22"/>
      <x:c r="B30" s="29"/>
      <x:c r="C30" s="22"/>
      <x:c r="D30" s="261"/>
      <x:c r="E30" s="261"/>
      <x:c r="F30" s="261"/>
      <x:c r="G30" s="261"/>
      <x:c r="H30" s="261"/>
      <x:c r="I30" s="261"/>
      <x:c r="J30" s="261"/>
      <x:c r="K30" s="264"/>
      <x:c r="L30" s="261"/>
      <x:c r="M30" s="261"/>
      <x:c r="N30" s="261"/>
      <x:c r="O30" s="264"/>
      <x:c r="P30" s="261"/>
      <x:c r="Q30" s="261"/>
    </x:row>
    <x:row r="31" ht="15" hidden="0" customHeight="1">
      <x:c r="A31" s="22"/>
      <x:c r="B31" s="29"/>
      <x:c r="C31" s="22"/>
      <x:c r="D31" s="261"/>
      <x:c r="E31" s="261"/>
      <x:c r="F31" s="261"/>
      <x:c r="G31" s="261"/>
      <x:c r="H31" s="261"/>
      <x:c r="I31" s="261"/>
      <x:c r="J31" s="261"/>
      <x:c r="K31" s="264"/>
      <x:c r="L31" s="261"/>
      <x:c r="M31" s="261"/>
      <x:c r="N31" s="261"/>
      <x:c r="O31" s="264"/>
      <x:c r="P31" s="261"/>
      <x:c r="Q31" s="261"/>
    </x:row>
    <x:row r="32" ht="15" hidden="0" customHeight="1">
      <x:c r="A32" s="22"/>
      <x:c r="B32" s="29"/>
      <x:c r="C32" s="22"/>
      <x:c r="D32" s="261"/>
      <x:c r="E32" s="261"/>
      <x:c r="F32" s="261"/>
      <x:c r="G32" s="261"/>
      <x:c r="H32" s="261"/>
      <x:c r="I32" s="261"/>
      <x:c r="J32" s="261"/>
      <x:c r="K32" s="264"/>
      <x:c r="L32" s="261"/>
      <x:c r="M32" s="261"/>
      <x:c r="N32" s="261"/>
      <x:c r="O32" s="264"/>
      <x:c r="P32" s="261"/>
      <x:c r="Q32" s="261"/>
    </x:row>
    <x:row r="33" ht="15" hidden="0" customHeight="1">
      <x:c r="A33" s="22"/>
      <x:c r="B33" s="29"/>
      <x:c r="C33" s="22"/>
      <x:c r="D33" s="261"/>
      <x:c r="E33" s="261"/>
      <x:c r="F33" s="261"/>
      <x:c r="G33" s="261"/>
      <x:c r="H33" s="261"/>
      <x:c r="I33" s="261"/>
      <x:c r="J33" s="261"/>
      <x:c r="K33" s="264"/>
      <x:c r="L33" s="261"/>
      <x:c r="M33" s="261"/>
      <x:c r="N33" s="261"/>
      <x:c r="O33" s="264"/>
      <x:c r="P33" s="261"/>
      <x:c r="Q33" s="261"/>
    </x:row>
    <x:row r="34" ht="15" hidden="0" customHeight="1">
      <x:c r="A34" s="22"/>
      <x:c r="B34" s="29"/>
      <x:c r="C34" s="22"/>
      <x:c r="D34" s="261"/>
      <x:c r="E34" s="261"/>
      <x:c r="F34" s="261"/>
      <x:c r="G34" s="261"/>
      <x:c r="H34" s="261"/>
      <x:c r="I34" s="261"/>
      <x:c r="J34" s="261"/>
      <x:c r="K34" s="264"/>
      <x:c r="L34" s="261"/>
      <x:c r="M34" s="261"/>
      <x:c r="N34" s="261"/>
      <x:c r="O34" s="264"/>
      <x:c r="P34" s="261"/>
      <x:c r="Q34" s="261"/>
    </x:row>
    <x:row r="35" ht="15" hidden="0" customHeight="1">
      <x:c r="A35" s="22"/>
      <x:c r="B35" s="29"/>
      <x:c r="C35" s="22"/>
      <x:c r="D35" s="261"/>
      <x:c r="E35" s="261"/>
      <x:c r="F35" s="261"/>
      <x:c r="G35" s="261"/>
      <x:c r="H35" s="261"/>
      <x:c r="I35" s="261"/>
      <x:c r="J35" s="261"/>
      <x:c r="K35" s="264"/>
      <x:c r="L35" s="261"/>
      <x:c r="M35" s="261"/>
      <x:c r="N35" s="261"/>
      <x:c r="O35" s="264"/>
      <x:c r="P35" s="261"/>
      <x:c r="Q35" s="261"/>
    </x:row>
    <x:row r="36" ht="15" hidden="0" customHeight="1">
      <x:c r="A36" s="22"/>
      <x:c r="B36" s="29"/>
      <x:c r="C36" s="22"/>
      <x:c r="D36" s="261"/>
      <x:c r="E36" s="261"/>
      <x:c r="F36" s="261"/>
      <x:c r="G36" s="261"/>
      <x:c r="H36" s="261"/>
      <x:c r="I36" s="261"/>
      <x:c r="J36" s="261"/>
      <x:c r="K36" s="264"/>
      <x:c r="L36" s="261"/>
      <x:c r="M36" s="261"/>
      <x:c r="N36" s="261"/>
      <x:c r="O36" s="264"/>
      <x:c r="P36" s="261"/>
      <x:c r="Q36" s="261"/>
    </x:row>
    <x:row r="37" ht="15" hidden="0" customHeight="1">
      <x:c r="A37" s="22"/>
      <x:c r="B37" s="29"/>
      <x:c r="C37" s="22"/>
      <x:c r="D37" s="261"/>
      <x:c r="E37" s="261"/>
      <x:c r="F37" s="261"/>
      <x:c r="G37" s="261"/>
      <x:c r="H37" s="261"/>
      <x:c r="I37" s="261"/>
      <x:c r="J37" s="261"/>
      <x:c r="K37" s="264"/>
      <x:c r="L37" s="261"/>
      <x:c r="M37" s="261"/>
      <x:c r="N37" s="261"/>
      <x:c r="O37" s="264"/>
      <x:c r="P37" s="261"/>
      <x:c r="Q37" s="261"/>
    </x:row>
    <x:row r="38" ht="15" hidden="0" customHeight="1">
      <x:c r="A38" s="22"/>
      <x:c r="B38" s="29"/>
      <x:c r="C38" s="22"/>
      <x:c r="D38" s="261"/>
      <x:c r="E38" s="261"/>
      <x:c r="F38" s="261"/>
      <x:c r="G38" s="261"/>
      <x:c r="H38" s="261"/>
      <x:c r="I38" s="261"/>
      <x:c r="J38" s="261"/>
      <x:c r="K38" s="264"/>
      <x:c r="L38" s="261"/>
      <x:c r="M38" s="261"/>
      <x:c r="N38" s="261"/>
      <x:c r="O38" s="264"/>
      <x:c r="P38" s="261"/>
      <x:c r="Q38" s="261"/>
    </x:row>
    <x:row r="39" ht="15" hidden="0" customHeight="1">
      <x:c r="A39" s="22"/>
      <x:c r="B39" s="29"/>
      <x:c r="C39" s="22"/>
      <x:c r="D39" s="261"/>
      <x:c r="E39" s="261"/>
      <x:c r="F39" s="261"/>
      <x:c r="G39" s="261"/>
      <x:c r="H39" s="261"/>
      <x:c r="I39" s="261"/>
      <x:c r="J39" s="261"/>
      <x:c r="K39" s="264"/>
      <x:c r="L39" s="261"/>
      <x:c r="M39" s="261"/>
      <x:c r="N39" s="261"/>
      <x:c r="O39" s="264"/>
      <x:c r="P39" s="261"/>
      <x:c r="Q39" s="261"/>
    </x:row>
    <x:row r="40" ht="15" hidden="0" customHeight="1">
      <x:c r="A40" s="22"/>
      <x:c r="B40" s="29"/>
      <x:c r="C40" s="22"/>
      <x:c r="D40" s="261"/>
      <x:c r="E40" s="261"/>
      <x:c r="F40" s="261"/>
      <x:c r="G40" s="261"/>
      <x:c r="H40" s="261"/>
      <x:c r="I40" s="261"/>
      <x:c r="J40" s="261"/>
      <x:c r="K40" s="264"/>
      <x:c r="L40" s="261"/>
      <x:c r="M40" s="261"/>
      <x:c r="N40" s="261"/>
      <x:c r="O40" s="264"/>
      <x:c r="P40" s="261"/>
      <x:c r="Q40" s="261"/>
    </x:row>
    <x:row r="41" ht="15" hidden="0" customHeight="1">
      <x:c r="A41" s="22"/>
      <x:c r="B41" s="29"/>
      <x:c r="C41" s="22"/>
      <x:c r="D41" s="261"/>
      <x:c r="E41" s="261"/>
      <x:c r="F41" s="261"/>
      <x:c r="G41" s="261"/>
      <x:c r="H41" s="261"/>
      <x:c r="I41" s="261"/>
      <x:c r="J41" s="261"/>
      <x:c r="K41" s="264"/>
      <x:c r="L41" s="261"/>
      <x:c r="M41" s="261"/>
      <x:c r="N41" s="261"/>
      <x:c r="O41" s="264"/>
      <x:c r="P41" s="261"/>
      <x:c r="Q41" s="261"/>
    </x:row>
    <x:row r="42" ht="15" hidden="0" customHeight="1">
      <x:c r="A42" s="22"/>
      <x:c r="B42" s="29"/>
      <x:c r="C42" s="22"/>
      <x:c r="D42" s="261"/>
      <x:c r="E42" s="261"/>
      <x:c r="F42" s="261"/>
      <x:c r="G42" s="261"/>
      <x:c r="H42" s="261"/>
      <x:c r="I42" s="261"/>
      <x:c r="J42" s="261"/>
      <x:c r="K42" s="264"/>
      <x:c r="L42" s="261"/>
      <x:c r="M42" s="261"/>
      <x:c r="N42" s="261"/>
      <x:c r="O42" s="264"/>
      <x:c r="P42" s="261"/>
      <x:c r="Q42" s="261"/>
    </x:row>
    <x:row r="43" ht="15" hidden="0" customHeight="1">
      <x:c r="A43" s="22"/>
      <x:c r="B43" s="29"/>
      <x:c r="C43" s="22"/>
      <x:c r="D43" s="261"/>
      <x:c r="E43" s="261"/>
      <x:c r="F43" s="261"/>
      <x:c r="G43" s="261"/>
      <x:c r="H43" s="261"/>
      <x:c r="I43" s="261"/>
      <x:c r="J43" s="261"/>
      <x:c r="K43" s="264"/>
      <x:c r="L43" s="261"/>
      <x:c r="M43" s="261"/>
      <x:c r="N43" s="261"/>
      <x:c r="O43" s="264"/>
      <x:c r="P43" s="261"/>
      <x:c r="Q43" s="261"/>
    </x:row>
    <x:row r="44" ht="15" hidden="0" customHeight="1">
      <x:c r="A44" s="22"/>
      <x:c r="B44" s="29"/>
      <x:c r="C44" s="22"/>
      <x:c r="D44" s="261"/>
      <x:c r="E44" s="261"/>
      <x:c r="F44" s="261"/>
      <x:c r="G44" s="261"/>
      <x:c r="H44" s="261"/>
      <x:c r="I44" s="261"/>
      <x:c r="J44" s="261"/>
      <x:c r="K44" s="264"/>
      <x:c r="L44" s="261"/>
      <x:c r="M44" s="261"/>
      <x:c r="N44" s="261"/>
      <x:c r="O44" s="264"/>
      <x:c r="P44" s="261"/>
      <x:c r="Q44" s="261"/>
    </x:row>
    <x:row r="45" ht="15" hidden="0" customHeight="1">
      <x:c r="A45" s="22"/>
      <x:c r="B45" s="29"/>
      <x:c r="C45" s="22"/>
      <x:c r="D45" s="261"/>
      <x:c r="E45" s="261"/>
      <x:c r="F45" s="261"/>
      <x:c r="G45" s="261"/>
      <x:c r="H45" s="261"/>
      <x:c r="I45" s="261"/>
      <x:c r="J45" s="261"/>
      <x:c r="K45" s="264"/>
      <x:c r="L45" s="261"/>
      <x:c r="M45" s="261"/>
      <x:c r="N45" s="261"/>
      <x:c r="O45" s="264"/>
      <x:c r="P45" s="261"/>
      <x:c r="Q45" s="261"/>
    </x:row>
    <x:row r="46" ht="15" hidden="0" customHeight="1">
      <x:c r="A46" s="22"/>
      <x:c r="B46" s="29"/>
      <x:c r="C46" s="22"/>
      <x:c r="D46" s="261"/>
      <x:c r="E46" s="261"/>
      <x:c r="F46" s="261"/>
      <x:c r="G46" s="261"/>
      <x:c r="H46" s="261"/>
      <x:c r="I46" s="261"/>
      <x:c r="J46" s="261"/>
      <x:c r="K46" s="264"/>
      <x:c r="L46" s="261"/>
      <x:c r="M46" s="261"/>
      <x:c r="N46" s="261"/>
      <x:c r="O46" s="264"/>
      <x:c r="P46" s="261"/>
      <x:c r="Q46" s="261"/>
    </x:row>
    <x:row r="47" ht="15" hidden="0" customHeight="1">
      <x:c r="A47" s="22"/>
      <x:c r="B47" s="29"/>
      <x:c r="C47" s="22"/>
      <x:c r="D47" s="261"/>
      <x:c r="E47" s="261"/>
      <x:c r="F47" s="261"/>
      <x:c r="G47" s="261"/>
      <x:c r="H47" s="261"/>
      <x:c r="I47" s="261"/>
      <x:c r="J47" s="261"/>
      <x:c r="K47" s="264"/>
      <x:c r="L47" s="261"/>
      <x:c r="M47" s="261"/>
      <x:c r="N47" s="261"/>
      <x:c r="O47" s="264"/>
      <x:c r="P47" s="261"/>
      <x:c r="Q47" s="261"/>
    </x:row>
    <x:row r="48" ht="15" hidden="0" customHeight="1">
      <x:c r="A48" s="22"/>
      <x:c r="B48" s="29"/>
      <x:c r="C48" s="22"/>
      <x:c r="D48" s="261"/>
      <x:c r="E48" s="261"/>
      <x:c r="F48" s="261"/>
      <x:c r="G48" s="261"/>
      <x:c r="H48" s="261"/>
      <x:c r="I48" s="261"/>
      <x:c r="J48" s="261"/>
      <x:c r="K48" s="264"/>
      <x:c r="L48" s="261"/>
      <x:c r="M48" s="261"/>
      <x:c r="N48" s="261"/>
      <x:c r="O48" s="264"/>
      <x:c r="P48" s="261"/>
      <x:c r="Q48" s="261"/>
    </x:row>
    <x:row r="49" ht="15" hidden="0" customHeight="1">
      <x:c r="A49" s="22"/>
      <x:c r="B49" s="29"/>
      <x:c r="C49" s="22"/>
      <x:c r="D49" s="261"/>
      <x:c r="E49" s="261"/>
      <x:c r="F49" s="261"/>
      <x:c r="G49" s="261"/>
      <x:c r="H49" s="261"/>
      <x:c r="I49" s="261"/>
      <x:c r="J49" s="261"/>
      <x:c r="K49" s="264"/>
      <x:c r="L49" s="261"/>
      <x:c r="M49" s="261"/>
      <x:c r="N49" s="261"/>
      <x:c r="O49" s="264"/>
      <x:c r="P49" s="261"/>
      <x:c r="Q49" s="261"/>
    </x:row>
    <x:row r="50" ht="15" hidden="0" customHeight="1">
      <x:c r="A50" s="22"/>
      <x:c r="B50" s="29"/>
      <x:c r="C50" s="22"/>
      <x:c r="D50" s="261"/>
      <x:c r="E50" s="261"/>
      <x:c r="F50" s="261"/>
      <x:c r="G50" s="261"/>
      <x:c r="H50" s="261"/>
      <x:c r="I50" s="261"/>
      <x:c r="J50" s="261"/>
      <x:c r="K50" s="264"/>
      <x:c r="L50" s="261"/>
      <x:c r="M50" s="261"/>
      <x:c r="N50" s="261"/>
      <x:c r="O50" s="264"/>
      <x:c r="P50" s="261"/>
      <x:c r="Q50" s="261"/>
    </x:row>
    <x:row r="51" ht="15" hidden="0" customHeight="1">
      <x:c r="A51" s="22"/>
      <x:c r="B51" s="29"/>
      <x:c r="C51" s="22"/>
      <x:c r="D51" s="261"/>
      <x:c r="E51" s="261"/>
      <x:c r="F51" s="261"/>
      <x:c r="G51" s="261"/>
      <x:c r="H51" s="261"/>
      <x:c r="I51" s="261"/>
      <x:c r="J51" s="261"/>
      <x:c r="K51" s="264"/>
      <x:c r="L51" s="261"/>
      <x:c r="M51" s="261"/>
      <x:c r="N51" s="261"/>
      <x:c r="O51" s="264"/>
      <x:c r="P51" s="261"/>
      <x:c r="Q51" s="261"/>
    </x:row>
    <x:row r="52" ht="15" hidden="0" customHeight="1">
      <x:c r="A52" s="22"/>
      <x:c r="B52" s="29"/>
      <x:c r="C52" s="22"/>
      <x:c r="D52" s="261"/>
      <x:c r="E52" s="261"/>
      <x:c r="F52" s="261"/>
      <x:c r="G52" s="261"/>
      <x:c r="H52" s="261"/>
      <x:c r="I52" s="261"/>
      <x:c r="J52" s="261"/>
      <x:c r="K52" s="264"/>
      <x:c r="L52" s="261"/>
      <x:c r="M52" s="261"/>
      <x:c r="N52" s="261"/>
      <x:c r="O52" s="264"/>
      <x:c r="P52" s="261"/>
      <x:c r="Q52" s="261"/>
    </x:row>
    <x:row r="53" ht="15" hidden="0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</x:row>
    <x:row r="54" ht="15" hidden="0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</x:row>
  </x:sheetData>
  <x:mergeCells>
    <x:mergeCell ref="A1:Q2"/>
    <x:mergeCell ref="A3:Q3"/>
    <x:mergeCell ref="B5:E5"/>
    <x:mergeCell ref="G5:H5"/>
    <x:mergeCell ref="J5:K5"/>
    <x:mergeCell ref="M5:O5"/>
    <x:mergeCell ref="A9:Q9"/>
  </x:mergeCells>
  <x:conditionalFormatting sqref="M5:O5">
    <x:cfRule type="containsText" dxfId="284" priority="1" operator="containsText" text="قرمز"/>
    <x:cfRule type="containsText" dxfId="285" priority="2" operator="containsText" text="بحرانی"/>
    <x:cfRule type="containsText" dxfId="286" priority="3" operator="containsText" text="رد"/>
    <x:cfRule type="containsText" dxfId="287" priority="4" operator="containsText" text="متوقف"/>
    <x:cfRule type="containsText" dxfId="288" priority="5" operator="containsText" text="عقب‌افتاده"/>
    <x:cfRule type="containsText" dxfId="289" priority="6" operator="containsText" text="نامعتبر"/>
    <x:cfRule type="containsText" dxfId="290" priority="7" operator="containsText" text="زرد"/>
    <x:cfRule type="containsText" dxfId="291" priority="8" operator="containsText" text="باز"/>
    <x:cfRule type="containsText" dxfId="292" priority="9" operator="containsText" text="نیازمند اصلاح"/>
    <x:cfRule type="containsText" dxfId="293" priority="10" operator="containsText" text="در انتظار"/>
    <x:cfRule type="containsText" dxfId="294" priority="11" operator="containsText" text="نمونه آموزشی"/>
    <x:cfRule type="containsText" dxfId="295" priority="12" operator="containsText" text="سبز"/>
    <x:cfRule type="containsText" dxfId="296" priority="13" operator="containsText" text="بسته"/>
    <x:cfRule type="containsText" dxfId="297" priority="14" operator="containsText" text="تأیید"/>
    <x:cfRule type="containsText" dxfId="298" priority="15" operator="containsText" text="آزادشده"/>
    <x:cfRule type="containsText" dxfId="299" priority="16" operator="containsText" text="انجام‌شده"/>
    <x:cfRule type="containsText" dxfId="300" priority="17" operator="containsText" text="خاکستری"/>
    <x:cfRule type="containsText" dxfId="301" priority="18" operator="containsText" text="نابالغ"/>
    <x:cfRule type="containsText" dxfId="302" priority="19" operator="containsText" text="پنجره کامل نشده"/>
    <x:cfRule type="containsText" dxfId="303" priority="20" operator="containsText" text="n.a."/>
  </x:conditionalFormatting>
  <x:conditionalFormatting sqref="N13:N52">
    <x:cfRule type="containsText" dxfId="304" priority="21" operator="containsText" text="قرمز"/>
    <x:cfRule type="containsText" dxfId="305" priority="22" operator="containsText" text="بحرانی"/>
    <x:cfRule type="containsText" dxfId="306" priority="23" operator="containsText" text="رد"/>
    <x:cfRule type="containsText" dxfId="307" priority="24" operator="containsText" text="متوقف"/>
    <x:cfRule type="containsText" dxfId="308" priority="25" operator="containsText" text="عقب‌افتاده"/>
    <x:cfRule type="containsText" dxfId="309" priority="26" operator="containsText" text="نامعتبر"/>
    <x:cfRule type="containsText" dxfId="310" priority="27" operator="containsText" text="زرد"/>
    <x:cfRule type="containsText" dxfId="311" priority="28" operator="containsText" text="باز"/>
    <x:cfRule type="containsText" dxfId="312" priority="29" operator="containsText" text="نیازمند اصلاح"/>
    <x:cfRule type="containsText" dxfId="313" priority="30" operator="containsText" text="در انتظار"/>
    <x:cfRule type="containsText" dxfId="314" priority="31" operator="containsText" text="نمونه آموزشی"/>
    <x:cfRule type="containsText" dxfId="315" priority="32" operator="containsText" text="سبز"/>
    <x:cfRule type="containsText" dxfId="316" priority="33" operator="containsText" text="بسته"/>
    <x:cfRule type="containsText" dxfId="317" priority="34" operator="containsText" text="تأیید"/>
    <x:cfRule type="containsText" dxfId="318" priority="35" operator="containsText" text="آزادشده"/>
    <x:cfRule type="containsText" dxfId="319" priority="36" operator="containsText" text="انجام‌شده"/>
    <x:cfRule type="containsText" dxfId="320" priority="37" operator="containsText" text="خاکستری"/>
    <x:cfRule type="containsText" dxfId="321" priority="38" operator="containsText" text="نابالغ"/>
    <x:cfRule type="containsText" dxfId="322" priority="39" operator="containsText" text="پنجره کامل نشده"/>
    <x:cfRule type="containsText" dxfId="323" priority="40" operator="containsText" text="n.a."/>
  </x:conditionalFormatting>
  <x:dataValidations count="1">
    <x:dataValidation type="list" sqref="N13:N52">
      <x:formula1>"باز,در حال اجرا,در انتظار داده,بسته,متوقف"</x:formula1>
    </x:dataValidation>
  </x:dataValidations>
  <x:pageMargins left="0.7" right="0.7" top="0.75" bottom="0.75" header="0.3" footer="0.3"/>
</x:worksheet>
</file>